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860" yWindow="996" windowWidth="16536" windowHeight="12408"/>
  </bookViews>
  <sheets>
    <sheet name="приложение 1.1" sheetId="1" r:id="rId1"/>
  </sheets>
  <definedNames>
    <definedName name="_xlnm.Print_Titles" localSheetId="0">'приложение 1.1'!$11:$13</definedName>
    <definedName name="_xlnm.Print_Area" localSheetId="0">'приложение 1.1'!$A$1:$AG$158</definedName>
  </definedNames>
  <calcPr calcId="145621"/>
</workbook>
</file>

<file path=xl/calcChain.xml><?xml version="1.0" encoding="utf-8"?>
<calcChain xmlns="http://schemas.openxmlformats.org/spreadsheetml/2006/main">
  <c r="S69" i="1"/>
  <c r="P69" l="1"/>
  <c r="S133" l="1"/>
  <c r="R133"/>
  <c r="Q133"/>
  <c r="P133"/>
  <c r="O133"/>
  <c r="O69" l="1"/>
  <c r="R69"/>
  <c r="Q69"/>
  <c r="P20" l="1"/>
  <c r="D40" l="1"/>
  <c r="S40"/>
  <c r="D38"/>
  <c r="R38"/>
  <c r="D36"/>
  <c r="R36"/>
  <c r="Q35"/>
  <c r="D35"/>
  <c r="D34"/>
  <c r="Q34"/>
  <c r="D31"/>
  <c r="P31"/>
  <c r="D30"/>
  <c r="P30"/>
  <c r="D29"/>
  <c r="O29"/>
  <c r="D39"/>
  <c r="D33"/>
  <c r="D37"/>
  <c r="D32"/>
  <c r="D28"/>
  <c r="S37" l="1"/>
  <c r="P28"/>
  <c r="N92" l="1"/>
  <c r="N91"/>
  <c r="N90"/>
  <c r="N89"/>
  <c r="N88"/>
  <c r="D103"/>
  <c r="D102"/>
  <c r="N97"/>
  <c r="D97" s="1"/>
  <c r="N103"/>
  <c r="N102"/>
  <c r="N101"/>
  <c r="D101" s="1"/>
  <c r="N100"/>
  <c r="D100" s="1"/>
  <c r="N99"/>
  <c r="D99" s="1"/>
  <c r="N98"/>
  <c r="D98" s="1"/>
  <c r="N96"/>
  <c r="D96" s="1"/>
  <c r="N20"/>
  <c r="D20" s="1"/>
  <c r="N18"/>
  <c r="D18" s="1"/>
  <c r="N17"/>
  <c r="D17" s="1"/>
  <c r="Q17" l="1"/>
  <c r="P17"/>
  <c r="O17"/>
  <c r="Q18"/>
  <c r="P18"/>
  <c r="O18"/>
  <c r="Q20"/>
  <c r="O20"/>
  <c r="Y65"/>
  <c r="Y64"/>
  <c r="X64"/>
  <c r="W64"/>
  <c r="V64"/>
  <c r="U64"/>
  <c r="U29"/>
  <c r="V28"/>
  <c r="X65"/>
  <c r="W65"/>
  <c r="V65"/>
  <c r="U65"/>
  <c r="T65"/>
  <c r="X38"/>
  <c r="Y37"/>
  <c r="H65" l="1"/>
  <c r="G65" s="1"/>
  <c r="T64"/>
  <c r="H64" l="1"/>
  <c r="G64" l="1"/>
  <c r="O132" l="1"/>
  <c r="U132" s="1"/>
  <c r="Y131"/>
  <c r="S131"/>
  <c r="T131" s="1"/>
  <c r="G131" s="1"/>
  <c r="H131" s="1"/>
  <c r="U20" l="1"/>
  <c r="O106"/>
  <c r="U106"/>
  <c r="U69" l="1"/>
  <c r="O81" l="1"/>
  <c r="U81" s="1"/>
  <c r="O60"/>
  <c r="U60" s="1"/>
  <c r="S45" l="1"/>
  <c r="N45"/>
  <c r="D45"/>
  <c r="R44"/>
  <c r="N44"/>
  <c r="D44" s="1"/>
  <c r="Q43"/>
  <c r="N43"/>
  <c r="D43"/>
  <c r="P42"/>
  <c r="N42"/>
  <c r="D42"/>
  <c r="U41"/>
  <c r="M41"/>
  <c r="L41"/>
  <c r="K41"/>
  <c r="J41"/>
  <c r="I41"/>
  <c r="X44" l="1"/>
  <c r="X41" s="1"/>
  <c r="T42"/>
  <c r="H42" s="1"/>
  <c r="Y45"/>
  <c r="Y41" s="1"/>
  <c r="W43"/>
  <c r="W41" s="1"/>
  <c r="S41"/>
  <c r="V42"/>
  <c r="V41" s="1"/>
  <c r="P41"/>
  <c r="R41"/>
  <c r="N41"/>
  <c r="D41"/>
  <c r="Q41"/>
  <c r="T45"/>
  <c r="H45" s="1"/>
  <c r="G45" s="1"/>
  <c r="T44"/>
  <c r="H44" s="1"/>
  <c r="G44" s="1"/>
  <c r="T43"/>
  <c r="H43" s="1"/>
  <c r="G43" s="1"/>
  <c r="T41" l="1"/>
  <c r="G42"/>
  <c r="H41"/>
  <c r="G41" l="1"/>
  <c r="W69" l="1"/>
  <c r="Q89"/>
  <c r="P48"/>
  <c r="X69"/>
  <c r="O70"/>
  <c r="O112"/>
  <c r="S130"/>
  <c r="Y129"/>
  <c r="S129"/>
  <c r="Y128"/>
  <c r="S128"/>
  <c r="Y127"/>
  <c r="S127"/>
  <c r="T127" s="1"/>
  <c r="G127" s="1"/>
  <c r="R126"/>
  <c r="T126" s="1"/>
  <c r="R125"/>
  <c r="R124"/>
  <c r="R123"/>
  <c r="X122"/>
  <c r="R122"/>
  <c r="Q121"/>
  <c r="Q120"/>
  <c r="Q119"/>
  <c r="W118"/>
  <c r="Q118"/>
  <c r="V117"/>
  <c r="P117"/>
  <c r="V116"/>
  <c r="P116"/>
  <c r="V115"/>
  <c r="P115"/>
  <c r="V114"/>
  <c r="P114"/>
  <c r="P113"/>
  <c r="P111"/>
  <c r="P110"/>
  <c r="O109"/>
  <c r="O108"/>
  <c r="O107"/>
  <c r="O105" l="1"/>
  <c r="H127"/>
  <c r="U109"/>
  <c r="T128"/>
  <c r="G128" s="1"/>
  <c r="T111"/>
  <c r="G111" s="1"/>
  <c r="T123"/>
  <c r="G123" s="1"/>
  <c r="T106"/>
  <c r="G106" s="1"/>
  <c r="T114"/>
  <c r="G114" s="1"/>
  <c r="T118"/>
  <c r="G118" s="1"/>
  <c r="T124"/>
  <c r="G124" s="1"/>
  <c r="T108"/>
  <c r="U108" s="1"/>
  <c r="T120"/>
  <c r="G120" s="1"/>
  <c r="T116"/>
  <c r="G116" s="1"/>
  <c r="V110"/>
  <c r="T122"/>
  <c r="G122" s="1"/>
  <c r="T129"/>
  <c r="G129" s="1"/>
  <c r="T125"/>
  <c r="X125" s="1"/>
  <c r="T130"/>
  <c r="G130" s="1"/>
  <c r="W89"/>
  <c r="T121"/>
  <c r="G121" s="1"/>
  <c r="T112"/>
  <c r="G112" s="1"/>
  <c r="T117"/>
  <c r="G117" s="1"/>
  <c r="V113"/>
  <c r="Y69"/>
  <c r="U107"/>
  <c r="T115"/>
  <c r="G115" s="1"/>
  <c r="T119"/>
  <c r="G119" s="1"/>
  <c r="T132"/>
  <c r="G132" s="1"/>
  <c r="V69"/>
  <c r="U112"/>
  <c r="V111"/>
  <c r="Y130"/>
  <c r="G126"/>
  <c r="H126" s="1"/>
  <c r="X126"/>
  <c r="T113"/>
  <c r="G113" s="1"/>
  <c r="X124"/>
  <c r="T110"/>
  <c r="G110" s="1"/>
  <c r="T107"/>
  <c r="G107" s="1"/>
  <c r="T109"/>
  <c r="G109" s="1"/>
  <c r="W120" l="1"/>
  <c r="X123"/>
  <c r="W121"/>
  <c r="W119"/>
  <c r="H118"/>
  <c r="H112"/>
  <c r="G125"/>
  <c r="G108"/>
  <c r="H119"/>
  <c r="H129"/>
  <c r="H116"/>
  <c r="H113"/>
  <c r="H130"/>
  <c r="H120"/>
  <c r="H128"/>
  <c r="H106"/>
  <c r="H107"/>
  <c r="H124"/>
  <c r="H111"/>
  <c r="H121"/>
  <c r="H122"/>
  <c r="H114"/>
  <c r="H132"/>
  <c r="H109"/>
  <c r="H110"/>
  <c r="H123"/>
  <c r="H115"/>
  <c r="H117"/>
  <c r="H108" l="1"/>
  <c r="H125"/>
  <c r="K51"/>
  <c r="Q51" s="1"/>
  <c r="O104" l="1"/>
  <c r="P104"/>
  <c r="Q104"/>
  <c r="R104"/>
  <c r="S104"/>
  <c r="V104" l="1"/>
  <c r="U104"/>
  <c r="W104"/>
  <c r="Y104"/>
  <c r="X104"/>
  <c r="T104"/>
  <c r="H104" s="1"/>
  <c r="P92"/>
  <c r="S26"/>
  <c r="Q25"/>
  <c r="Q24"/>
  <c r="P23"/>
  <c r="P22"/>
  <c r="O21"/>
  <c r="Q32"/>
  <c r="G104" l="1"/>
  <c r="S95"/>
  <c r="R95"/>
  <c r="Q95"/>
  <c r="P95"/>
  <c r="Q33"/>
  <c r="S39"/>
  <c r="W33" l="1"/>
  <c r="U28"/>
  <c r="S20"/>
  <c r="Y20" s="1"/>
  <c r="R20"/>
  <c r="X20" s="1"/>
  <c r="W20"/>
  <c r="V20"/>
  <c r="S17"/>
  <c r="Y17" s="1"/>
  <c r="R17"/>
  <c r="X17" s="1"/>
  <c r="W17"/>
  <c r="V17"/>
  <c r="U17"/>
  <c r="R80" l="1"/>
  <c r="Q78"/>
  <c r="P77"/>
  <c r="O76"/>
  <c r="Q79"/>
  <c r="N79"/>
  <c r="D79" s="1"/>
  <c r="X80" l="1"/>
  <c r="W79"/>
  <c r="T79"/>
  <c r="H79" s="1"/>
  <c r="G79" s="1"/>
  <c r="T29" l="1"/>
  <c r="M87" l="1"/>
  <c r="M86" s="1"/>
  <c r="L87"/>
  <c r="L86" s="1"/>
  <c r="K87"/>
  <c r="K86" s="1"/>
  <c r="J87"/>
  <c r="J86" s="1"/>
  <c r="I87"/>
  <c r="I86" s="1"/>
  <c r="V92"/>
  <c r="D92"/>
  <c r="P60"/>
  <c r="N60"/>
  <c r="D60" s="1"/>
  <c r="I82"/>
  <c r="J82"/>
  <c r="K82"/>
  <c r="L82"/>
  <c r="M82"/>
  <c r="R82"/>
  <c r="S82"/>
  <c r="M68"/>
  <c r="L68"/>
  <c r="K68"/>
  <c r="J68"/>
  <c r="I68"/>
  <c r="P81"/>
  <c r="N81"/>
  <c r="D81" s="1"/>
  <c r="D105"/>
  <c r="U85"/>
  <c r="I84"/>
  <c r="N59"/>
  <c r="N58"/>
  <c r="S27"/>
  <c r="R27"/>
  <c r="P27"/>
  <c r="O27"/>
  <c r="V60" l="1"/>
  <c r="V81"/>
  <c r="T92"/>
  <c r="H92" s="1"/>
  <c r="T81"/>
  <c r="H81" s="1"/>
  <c r="G81" s="1"/>
  <c r="T60"/>
  <c r="H60" s="1"/>
  <c r="N69"/>
  <c r="D69" s="1"/>
  <c r="Y83"/>
  <c r="X83"/>
  <c r="X82" s="1"/>
  <c r="T83"/>
  <c r="N83"/>
  <c r="W83"/>
  <c r="V83"/>
  <c r="U83"/>
  <c r="V77"/>
  <c r="W78"/>
  <c r="U76"/>
  <c r="S75"/>
  <c r="R74"/>
  <c r="T26"/>
  <c r="N26"/>
  <c r="D26" s="1"/>
  <c r="N25"/>
  <c r="D25" s="1"/>
  <c r="W24"/>
  <c r="N24"/>
  <c r="D24" s="1"/>
  <c r="N23"/>
  <c r="D23" s="1"/>
  <c r="N22"/>
  <c r="D22" s="1"/>
  <c r="V22"/>
  <c r="U21"/>
  <c r="R91"/>
  <c r="Q90"/>
  <c r="P88"/>
  <c r="D91"/>
  <c r="D90"/>
  <c r="D89"/>
  <c r="D88"/>
  <c r="O95"/>
  <c r="R73"/>
  <c r="Q72"/>
  <c r="P71"/>
  <c r="D70"/>
  <c r="O59"/>
  <c r="O58"/>
  <c r="U58" s="1"/>
  <c r="D59"/>
  <c r="D58"/>
  <c r="Q87" l="1"/>
  <c r="Q86" s="1"/>
  <c r="V71"/>
  <c r="V68" s="1"/>
  <c r="W72"/>
  <c r="W68" s="1"/>
  <c r="X73"/>
  <c r="O82"/>
  <c r="X74"/>
  <c r="P82"/>
  <c r="U59"/>
  <c r="Q82"/>
  <c r="G60"/>
  <c r="G92"/>
  <c r="R68"/>
  <c r="S68"/>
  <c r="P68"/>
  <c r="Q68"/>
  <c r="H83"/>
  <c r="O68"/>
  <c r="N87"/>
  <c r="N86" s="1"/>
  <c r="W90"/>
  <c r="W87" s="1"/>
  <c r="W86" s="1"/>
  <c r="W32"/>
  <c r="Q27"/>
  <c r="W82"/>
  <c r="U82"/>
  <c r="U95"/>
  <c r="X91"/>
  <c r="D83"/>
  <c r="T32"/>
  <c r="V82"/>
  <c r="U87"/>
  <c r="U86" s="1"/>
  <c r="D46"/>
  <c r="D16"/>
  <c r="T88"/>
  <c r="V88"/>
  <c r="T89"/>
  <c r="T90"/>
  <c r="T91"/>
  <c r="T69"/>
  <c r="T59"/>
  <c r="T20"/>
  <c r="U70"/>
  <c r="U68" s="1"/>
  <c r="S19"/>
  <c r="R19"/>
  <c r="Q19"/>
  <c r="P19"/>
  <c r="O19"/>
  <c r="U19" s="1"/>
  <c r="S18"/>
  <c r="R18"/>
  <c r="S134"/>
  <c r="R134"/>
  <c r="Q134"/>
  <c r="AB134" s="1"/>
  <c r="P134"/>
  <c r="AA134" s="1"/>
  <c r="O134"/>
  <c r="Z134" s="1"/>
  <c r="D134"/>
  <c r="D133"/>
  <c r="S16" l="1"/>
  <c r="X68"/>
  <c r="V18"/>
  <c r="W18"/>
  <c r="H32"/>
  <c r="H20"/>
  <c r="G20" s="1"/>
  <c r="V19"/>
  <c r="G83"/>
  <c r="D87"/>
  <c r="D86" s="1"/>
  <c r="G32"/>
  <c r="G69"/>
  <c r="G90"/>
  <c r="H90"/>
  <c r="G89"/>
  <c r="H89"/>
  <c r="G91"/>
  <c r="H91"/>
  <c r="G88"/>
  <c r="H88"/>
  <c r="H59"/>
  <c r="G59"/>
  <c r="T18"/>
  <c r="T19"/>
  <c r="T134"/>
  <c r="S57"/>
  <c r="M57"/>
  <c r="N57" s="1"/>
  <c r="S56"/>
  <c r="M56"/>
  <c r="N56" s="1"/>
  <c r="S55"/>
  <c r="M55"/>
  <c r="Q54"/>
  <c r="K54"/>
  <c r="N54" s="1"/>
  <c r="R53"/>
  <c r="L53"/>
  <c r="N53" s="1"/>
  <c r="Q52"/>
  <c r="L52"/>
  <c r="P50"/>
  <c r="J50"/>
  <c r="N50" s="1"/>
  <c r="P49"/>
  <c r="J49"/>
  <c r="V48"/>
  <c r="J48"/>
  <c r="N48" s="1"/>
  <c r="O47"/>
  <c r="I47"/>
  <c r="V50" l="1"/>
  <c r="U47"/>
  <c r="U46" s="1"/>
  <c r="W52"/>
  <c r="Y56"/>
  <c r="W54"/>
  <c r="Y57"/>
  <c r="N52"/>
  <c r="L46"/>
  <c r="N55"/>
  <c r="M46"/>
  <c r="O46"/>
  <c r="N49"/>
  <c r="J46"/>
  <c r="I46"/>
  <c r="N47"/>
  <c r="Y55"/>
  <c r="S46"/>
  <c r="R46"/>
  <c r="W51"/>
  <c r="Q46"/>
  <c r="K46"/>
  <c r="N51"/>
  <c r="V49"/>
  <c r="P46"/>
  <c r="H69"/>
  <c r="T50"/>
  <c r="R87"/>
  <c r="P87"/>
  <c r="S103"/>
  <c r="R102"/>
  <c r="R101"/>
  <c r="Q99"/>
  <c r="Q100"/>
  <c r="P98"/>
  <c r="O97"/>
  <c r="O96"/>
  <c r="W46" l="1"/>
  <c r="V46"/>
  <c r="Y46"/>
  <c r="W100"/>
  <c r="U97"/>
  <c r="V98"/>
  <c r="O94"/>
  <c r="R94"/>
  <c r="R86"/>
  <c r="N46"/>
  <c r="P86"/>
  <c r="W99"/>
  <c r="Q94"/>
  <c r="T103"/>
  <c r="H103" s="1"/>
  <c r="S94"/>
  <c r="P94"/>
  <c r="U96"/>
  <c r="Y103"/>
  <c r="Y40"/>
  <c r="Y39"/>
  <c r="Y38"/>
  <c r="X36"/>
  <c r="T30"/>
  <c r="Y27" l="1"/>
  <c r="X87"/>
  <c r="X86" s="1"/>
  <c r="X27"/>
  <c r="G103"/>
  <c r="R16" l="1"/>
  <c r="Q16"/>
  <c r="P16"/>
  <c r="O16"/>
  <c r="Y63"/>
  <c r="Y62" s="1"/>
  <c r="X63"/>
  <c r="X62" s="1"/>
  <c r="W63"/>
  <c r="W62" s="1"/>
  <c r="V63"/>
  <c r="V62" s="1"/>
  <c r="U63"/>
  <c r="U62" s="1"/>
  <c r="S63"/>
  <c r="S62" s="1"/>
  <c r="R63"/>
  <c r="R62" s="1"/>
  <c r="Q63"/>
  <c r="Q62" s="1"/>
  <c r="P63"/>
  <c r="P62" s="1"/>
  <c r="O63"/>
  <c r="O62" s="1"/>
  <c r="N85"/>
  <c r="D85" s="1"/>
  <c r="D84" s="1"/>
  <c r="X105" l="1"/>
  <c r="S105"/>
  <c r="Q105"/>
  <c r="P105"/>
  <c r="U105"/>
  <c r="V105"/>
  <c r="W105"/>
  <c r="R105"/>
  <c r="G17"/>
  <c r="X102"/>
  <c r="T102"/>
  <c r="G102" s="1"/>
  <c r="X101"/>
  <c r="T101"/>
  <c r="H101" s="1"/>
  <c r="T100"/>
  <c r="H100" s="1"/>
  <c r="T99"/>
  <c r="H99" s="1"/>
  <c r="T98"/>
  <c r="H98" s="1"/>
  <c r="T97"/>
  <c r="H97" s="1"/>
  <c r="T96"/>
  <c r="H96" s="1"/>
  <c r="H102" l="1"/>
  <c r="G101"/>
  <c r="G100"/>
  <c r="G99"/>
  <c r="G98"/>
  <c r="G96"/>
  <c r="G97"/>
  <c r="W25"/>
  <c r="T24"/>
  <c r="V23"/>
  <c r="V16" s="1"/>
  <c r="N80"/>
  <c r="D80" s="1"/>
  <c r="N78"/>
  <c r="D78" s="1"/>
  <c r="N77"/>
  <c r="D77" s="1"/>
  <c r="N76"/>
  <c r="D76" s="1"/>
  <c r="Y75"/>
  <c r="Y68" s="1"/>
  <c r="N75"/>
  <c r="D75" s="1"/>
  <c r="N74"/>
  <c r="D74" s="1"/>
  <c r="Y82"/>
  <c r="N73"/>
  <c r="D73" s="1"/>
  <c r="N72"/>
  <c r="D72" s="1"/>
  <c r="H24" l="1"/>
  <c r="G24" s="1"/>
  <c r="N82"/>
  <c r="D82"/>
  <c r="T22"/>
  <c r="T23"/>
  <c r="T25"/>
  <c r="T21"/>
  <c r="T80"/>
  <c r="H80" s="1"/>
  <c r="G80" s="1"/>
  <c r="T78"/>
  <c r="H78" s="1"/>
  <c r="G78" s="1"/>
  <c r="T77"/>
  <c r="H77" s="1"/>
  <c r="G77" s="1"/>
  <c r="T76"/>
  <c r="H76" s="1"/>
  <c r="G76" s="1"/>
  <c r="T75"/>
  <c r="H75" s="1"/>
  <c r="G75" s="1"/>
  <c r="T74"/>
  <c r="H74" s="1"/>
  <c r="G74" s="1"/>
  <c r="T73"/>
  <c r="H73" s="1"/>
  <c r="G73" s="1"/>
  <c r="T72"/>
  <c r="H72" s="1"/>
  <c r="G72" s="1"/>
  <c r="T71"/>
  <c r="H71" s="1"/>
  <c r="G71" s="1"/>
  <c r="N71"/>
  <c r="D71" s="1"/>
  <c r="T70"/>
  <c r="N70"/>
  <c r="X53"/>
  <c r="X46" s="1"/>
  <c r="H21" l="1"/>
  <c r="G21" s="1"/>
  <c r="H23"/>
  <c r="G23" s="1"/>
  <c r="H25"/>
  <c r="G25" s="1"/>
  <c r="N68"/>
  <c r="H82"/>
  <c r="D68"/>
  <c r="T82"/>
  <c r="T68"/>
  <c r="H70"/>
  <c r="H22"/>
  <c r="G22" s="1"/>
  <c r="T51"/>
  <c r="T48"/>
  <c r="H48" s="1"/>
  <c r="T55"/>
  <c r="G55" s="1"/>
  <c r="T53"/>
  <c r="G53" s="1"/>
  <c r="T52"/>
  <c r="H52" s="1"/>
  <c r="T57"/>
  <c r="T56"/>
  <c r="T54"/>
  <c r="T49"/>
  <c r="T47"/>
  <c r="T40"/>
  <c r="H40" s="1"/>
  <c r="G82" l="1"/>
  <c r="H68"/>
  <c r="G70"/>
  <c r="H51"/>
  <c r="G51"/>
  <c r="G48"/>
  <c r="G52"/>
  <c r="H53"/>
  <c r="H55"/>
  <c r="H57"/>
  <c r="G57"/>
  <c r="G56"/>
  <c r="H56"/>
  <c r="H54"/>
  <c r="G54"/>
  <c r="G50"/>
  <c r="H50"/>
  <c r="H49"/>
  <c r="G49"/>
  <c r="H47"/>
  <c r="G47"/>
  <c r="G40"/>
  <c r="T39"/>
  <c r="H39" s="1"/>
  <c r="T38"/>
  <c r="H38" s="1"/>
  <c r="T37"/>
  <c r="H37" s="1"/>
  <c r="T36"/>
  <c r="W35"/>
  <c r="T35"/>
  <c r="V31"/>
  <c r="T31"/>
  <c r="V30"/>
  <c r="G30"/>
  <c r="W34"/>
  <c r="T34"/>
  <c r="H34" s="1"/>
  <c r="T33"/>
  <c r="V29"/>
  <c r="G29"/>
  <c r="H35" l="1"/>
  <c r="H33"/>
  <c r="H31"/>
  <c r="G68"/>
  <c r="W27"/>
  <c r="U27"/>
  <c r="V27"/>
  <c r="G36"/>
  <c r="G37"/>
  <c r="H36"/>
  <c r="G38"/>
  <c r="G39"/>
  <c r="G35"/>
  <c r="G31"/>
  <c r="H30"/>
  <c r="G34"/>
  <c r="G33"/>
  <c r="H29"/>
  <c r="G134" l="1"/>
  <c r="H134" s="1"/>
  <c r="H18" l="1"/>
  <c r="G18" s="1"/>
  <c r="Y19"/>
  <c r="X18"/>
  <c r="AD134"/>
  <c r="AC134"/>
  <c r="AD133"/>
  <c r="AA133"/>
  <c r="AB133"/>
  <c r="Z133"/>
  <c r="X95"/>
  <c r="X94" s="1"/>
  <c r="W19"/>
  <c r="W16" s="1"/>
  <c r="X19"/>
  <c r="T133"/>
  <c r="G133" s="1"/>
  <c r="H133" s="1"/>
  <c r="X16" l="1"/>
  <c r="T58"/>
  <c r="T46" s="1"/>
  <c r="Y18"/>
  <c r="AC133"/>
  <c r="H58" l="1"/>
  <c r="H46" s="1"/>
  <c r="G58"/>
  <c r="T17"/>
  <c r="W95"/>
  <c r="W94" s="1"/>
  <c r="U94"/>
  <c r="G46" l="1"/>
  <c r="T16"/>
  <c r="Y95"/>
  <c r="Y94" s="1"/>
  <c r="V95"/>
  <c r="V94" s="1"/>
  <c r="Y87"/>
  <c r="Y86" s="1"/>
  <c r="V84"/>
  <c r="T85"/>
  <c r="Y84"/>
  <c r="W84"/>
  <c r="S84"/>
  <c r="Q84"/>
  <c r="Q14" s="1"/>
  <c r="P84"/>
  <c r="O84"/>
  <c r="O14" s="1"/>
  <c r="T28"/>
  <c r="Z27"/>
  <c r="Y26"/>
  <c r="Y16" s="1"/>
  <c r="H19"/>
  <c r="G19" s="1"/>
  <c r="U18"/>
  <c r="U16" s="1"/>
  <c r="AD16"/>
  <c r="AD14" s="1"/>
  <c r="S10" s="1"/>
  <c r="AC16"/>
  <c r="AC14" s="1"/>
  <c r="R10" s="1"/>
  <c r="AB16"/>
  <c r="AB14" s="1"/>
  <c r="Q10" s="1"/>
  <c r="AA16"/>
  <c r="AA14" s="1"/>
  <c r="P10" s="1"/>
  <c r="Z16"/>
  <c r="Q9" l="1"/>
  <c r="Z14"/>
  <c r="O10" s="1"/>
  <c r="T10" s="1"/>
  <c r="P14"/>
  <c r="P9" s="1"/>
  <c r="T27"/>
  <c r="W14"/>
  <c r="W9" s="1"/>
  <c r="G105"/>
  <c r="T105"/>
  <c r="G85"/>
  <c r="H85"/>
  <c r="H84" s="1"/>
  <c r="H26"/>
  <c r="G26" s="1"/>
  <c r="G16" s="1"/>
  <c r="S14"/>
  <c r="S9" s="1"/>
  <c r="R84"/>
  <c r="T95"/>
  <c r="T84"/>
  <c r="X84"/>
  <c r="H28"/>
  <c r="H27" s="1"/>
  <c r="N84"/>
  <c r="O9" l="1"/>
  <c r="G84"/>
  <c r="R14"/>
  <c r="R9" s="1"/>
  <c r="G87"/>
  <c r="G86" s="1"/>
  <c r="T87"/>
  <c r="T86" s="1"/>
  <c r="H95"/>
  <c r="G95" s="1"/>
  <c r="T94"/>
  <c r="U84"/>
  <c r="Y105"/>
  <c r="H105"/>
  <c r="T63"/>
  <c r="T62" s="1"/>
  <c r="V87"/>
  <c r="V86" s="1"/>
  <c r="V14" s="1"/>
  <c r="V9" s="1"/>
  <c r="H87"/>
  <c r="H86" s="1"/>
  <c r="H17"/>
  <c r="G28"/>
  <c r="G27" s="1"/>
  <c r="H94" l="1"/>
  <c r="X14"/>
  <c r="X9" s="1"/>
  <c r="U14"/>
  <c r="G94"/>
  <c r="Y14"/>
  <c r="Y9" s="1"/>
  <c r="T14"/>
  <c r="T9" s="1"/>
  <c r="H63"/>
  <c r="H62" s="1"/>
  <c r="H16"/>
  <c r="U9" l="1"/>
  <c r="G63"/>
  <c r="G62" s="1"/>
  <c r="G14" l="1"/>
  <c r="H14" s="1"/>
</calcChain>
</file>

<file path=xl/sharedStrings.xml><?xml version="1.0" encoding="utf-8"?>
<sst xmlns="http://schemas.openxmlformats.org/spreadsheetml/2006/main" count="441" uniqueCount="295">
  <si>
    <t xml:space="preserve"> </t>
  </si>
  <si>
    <t>Предприятие: МУП города Череповца "Электросеть"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</si>
  <si>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</si>
  <si>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</si>
  <si>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</si>
  <si>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</si>
  <si>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строительства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</si>
  <si>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</si>
  <si>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</si>
  <si>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</si>
  <si>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Ввод мощностей</t>
  </si>
  <si>
    <t>Объем финансирования****</t>
  </si>
  <si>
    <t>Источники финансирования</t>
  </si>
  <si>
    <t>Итого</t>
  </si>
  <si>
    <t>За счет регулируемых тарифов по присоединению, тыс.руб.</t>
  </si>
  <si>
    <t>За счет иных источников (расшифровать), тыс.руб.</t>
  </si>
  <si>
    <t>примечание</t>
  </si>
  <si>
    <t>С/П*</t>
  </si>
  <si>
    <t>МВт/Гкал/ч/км/МВА</t>
  </si>
  <si>
    <t>млн.рублей</t>
  </si>
  <si>
    <t xml:space="preserve">ВСЕГО, </t>
  </si>
  <si>
    <t>Техническое перевооружение и реконструкция</t>
  </si>
  <si>
    <t>ТП-10/0,4 кВ</t>
  </si>
  <si>
    <t>-</t>
  </si>
  <si>
    <t>Реконструкция РУ-0,4 кВ ТП с заменой вводных автоматических выключателей типа APU-30 и APU-50 на автоматические выключатели типа ВА</t>
  </si>
  <si>
    <t>С</t>
  </si>
  <si>
    <t>Реконструкция РУ-10 кВ ТП с заменой разъединителей 10 кВ  типа РВ (разъединитель высоковольтный) на выключатели нагрузки типа ВНР (выключатель нагрузки с ручным приводом) и ВНА</t>
  </si>
  <si>
    <t>Реконструкция ТП с установкой дополнительного оборудования в целях обеспечения возможности технологического присоединения</t>
  </si>
  <si>
    <t>Реконструкция РП-10 кВ</t>
  </si>
  <si>
    <t>П</t>
  </si>
  <si>
    <t>Реконструкция ВЛ-0,4 кВ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</si>
  <si>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</si>
  <si>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</si>
  <si>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</si>
  <si>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</si>
  <si>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Модернизация АИИС КУЭ нижнего уровня Меркурий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</si>
  <si>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</si>
  <si>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</si>
  <si>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</si>
  <si>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</si>
  <si>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КЛ-10 кВ</t>
  </si>
  <si>
    <t>КЛ-0,4 кВ</t>
  </si>
  <si>
    <t xml:space="preserve">РП-10 кВ </t>
  </si>
  <si>
    <t>Строительство кабельных сооружений</t>
  </si>
  <si>
    <t>2.2.</t>
  </si>
  <si>
    <t>Прочее новое строительство</t>
  </si>
  <si>
    <t>2.2.4</t>
  </si>
  <si>
    <t>Развитие и поддержание в работоспособном состоянии  информационой системы предприятия</t>
  </si>
  <si>
    <t>2.3.</t>
  </si>
  <si>
    <t>Приобретение автотранспорта</t>
  </si>
  <si>
    <t>2.3.1</t>
  </si>
  <si>
    <t>2.3.7</t>
  </si>
  <si>
    <t>2.4.</t>
  </si>
  <si>
    <t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до 15 кВт</t>
  </si>
  <si>
    <t>Справочно:</t>
  </si>
  <si>
    <t>Оплата процентов за привлеченные кредитные ресурсы</t>
  </si>
  <si>
    <t>…</t>
  </si>
  <si>
    <t>* С - строительство, П- проектирование</t>
  </si>
  <si>
    <t>** - согласно проектной документации в текущих ценах (без НДС)</t>
  </si>
  <si>
    <t>*** - для сетевых организаций, переходящих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</si>
  <si>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</si>
  <si>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</si>
  <si>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Согласовано:</t>
  </si>
  <si>
    <t>Главный инженер МУП "Электросеть"</t>
  </si>
  <si>
    <t>А.А. Пестерев</t>
  </si>
  <si>
    <t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до 150 кВт</t>
  </si>
  <si>
    <t>Новое строительство КЛ-0,4 кВ взамен изношенных</t>
  </si>
  <si>
    <t>Перечень инвестиционных проектов на период реализации инвестиционной программы на 2020 - 2024 год и план их финансирования</t>
  </si>
  <si>
    <t>Реконструкция РП-15 с  заменой  МВ на ВВ отходящих ячеек, реконструкция схемы РЗА</t>
  </si>
  <si>
    <t>Реконструкция РП-14 с  заменой  МВ на ВВ отходящих ячеек, реконструкция схемы РЗА</t>
  </si>
  <si>
    <t>Реконструкция РП-5 с  заменой  МВ на ВВ отходящих ячеек, реконструкция схемы РЗА</t>
  </si>
  <si>
    <t>Реконструкция РП-8 с установкой ячеек КСО,  замена оборудования</t>
  </si>
  <si>
    <t>Реконструкция РП-3 с заменой  МВ на ВВ отходящих ячеек, реконструкция схемы РЗА</t>
  </si>
  <si>
    <t>Реконструкция РП-18 с установкой ячеек КСО, замена оборудования</t>
  </si>
  <si>
    <t>Реконструкция РП-6  с установкой ячеек КСО, замена оборудования</t>
  </si>
  <si>
    <t>Реконструкция РП-13 с  заменой  МВ на ВВ отходящих ячеек, реконструкция схемы РЗА</t>
  </si>
  <si>
    <t>Реконструкция РП-11 с установкой ячеек КСО,  замена оборудования</t>
  </si>
  <si>
    <t>Реконструкция РП-19 с заменой  отходящих, вводных и секционного МВ на ВВ, реконструкция схемы РЗА</t>
  </si>
  <si>
    <t>Реконструкция ВЛ-0,4 кВ от ТП-2112 по ул. Песчаная, ул. Портовая</t>
  </si>
  <si>
    <t>Реконструкция ВЛ-0,4 кВ от ТП-117 по ул. Матуринская, ул. Речников</t>
  </si>
  <si>
    <t>Реконструкция ВЛ-0,4 кВ от ТП-1818 до ГСК-Пламя</t>
  </si>
  <si>
    <t>Реконструкция ВЛ-0,4 кВ от ТП-136 по ул. Ивачевская Л-1, Л-2</t>
  </si>
  <si>
    <t>Реконструкция ВЛ-0,4 кВ от ТП-73 по ул. Дзержинского</t>
  </si>
  <si>
    <t>Реконструкция ВЛ-0,4 кВ от ТП-704  по пр. Советский</t>
  </si>
  <si>
    <t>Реконструкция ВЛ-0,4 кВ от РП-23  по ул. Осенняя ГСК</t>
  </si>
  <si>
    <t>Реконструкция ВЛ-0,4 кВ от ТП-118  по ул. Матуринская</t>
  </si>
  <si>
    <t>Реконструкция ВЛ-0,4 кВ от ТП-119  по ул. Матуринская</t>
  </si>
  <si>
    <t>Реконструкция ВЛ-0,4 кВ от ТП-150  по ул. Матуринская, ул. Совхозная</t>
  </si>
  <si>
    <t>Реконструкция ВЛ-0,4 кВ от ТП-100  по ул. М.Горького</t>
  </si>
  <si>
    <t>Нов. строительство КЛ-10 кВ РП-22 - РП-29</t>
  </si>
  <si>
    <t>Нов. строительство КЛ-10 кВ ТП-389 - ТП- 358</t>
  </si>
  <si>
    <t>Нов. строительство КЛ-10 кВ РП-23 - ТП- 107</t>
  </si>
  <si>
    <t>Нов. строительство КЛ-10 кВ РП-12 - ТП- 1812</t>
  </si>
  <si>
    <t>Нов. строительство КЛ-10 кВ ТП-258 - ТП- 256</t>
  </si>
  <si>
    <t>Нов. строительство КЛ-10 кВ ТП-2 - ТП- 123</t>
  </si>
  <si>
    <t>Нов. строительство КЛ-10 кВ ТП-2 - ТП- 61</t>
  </si>
  <si>
    <t>Нов. строительство КЛ-10 кВ ТП-34 - ТП- 92</t>
  </si>
  <si>
    <t>Нов. строительство КЛ-10 кВ ТП-45 - ТП- 89</t>
  </si>
  <si>
    <t>Амортизация 2020 года</t>
  </si>
  <si>
    <t>Амортизация 2021 года</t>
  </si>
  <si>
    <t>Амортизация 2022 года</t>
  </si>
  <si>
    <t>Амортизация 2023 года</t>
  </si>
  <si>
    <t>Амортизация 2024 года</t>
  </si>
  <si>
    <t>План года 2020</t>
  </si>
  <si>
    <t>План года 2021</t>
  </si>
  <si>
    <t>План года 2022</t>
  </si>
  <si>
    <t>План года 2023</t>
  </si>
  <si>
    <t xml:space="preserve">План года 2024*** </t>
  </si>
  <si>
    <t>Прибыль 2020года</t>
  </si>
  <si>
    <t>Прибыль 2021года</t>
  </si>
  <si>
    <t>Прибыль 2022года</t>
  </si>
  <si>
    <t>Прибыль 2023года</t>
  </si>
  <si>
    <t>Прибыль 2024года</t>
  </si>
  <si>
    <t>Реконструкция ВЛ-0,4 кВ от КТПН-9 по ул. Заводская в п. Кадуй</t>
  </si>
  <si>
    <t>Реконструкция ТП-542 (дренаж)</t>
  </si>
  <si>
    <t>Реконструкция ТП-121 (дренаж)</t>
  </si>
  <si>
    <t>Реконструкция ТП-258 (дренаж)</t>
  </si>
  <si>
    <t>Реконструкция ТП-396 (дренаж)</t>
  </si>
  <si>
    <t>Реконструкция ТП-2113 (дренаж)</t>
  </si>
  <si>
    <t>Реконструкция ТП-1812 (дренаж)</t>
  </si>
  <si>
    <t>Реконструкция ТП-1814 (дренаж)</t>
  </si>
  <si>
    <t>Реконструкция ТП-1816 (дренаж)</t>
  </si>
  <si>
    <t>Новое строительство ТП (взамен существующих)</t>
  </si>
  <si>
    <t>Строительство РП  (взамен cуществующей РП-4, ТП-35)</t>
  </si>
  <si>
    <t>А.А. Акентьев</t>
  </si>
  <si>
    <t>Заместитель главного инженера МУП "Электросеть"</t>
  </si>
  <si>
    <t>1,281 км КЛ-0,4 кВ                  1,123 км ВЛ-0,4 кВ               0,277 км КЛ-10 кВ</t>
  </si>
  <si>
    <t>6,405 км КЛ-0,4 кВ                  5,615 км ВЛ-0,4 кВ               1,385 км КЛ-10 кВ</t>
  </si>
  <si>
    <t>Нов. строительство КЛ-10 кВ ГПП-9- РТП-10кВ (район ул. Данилова-ул. Курманова)</t>
  </si>
  <si>
    <t>Замена в связи с физическим износом с целью снижения потерь, трансформаторов мощностью 180, 315, 320 и 560кВА на трансформаторы 400 и 630 кВА</t>
  </si>
  <si>
    <t>Реконструкция ВЛ-0,4 кВ от КТПН-9 по ул. Карла-Маркса в п. Кадуй</t>
  </si>
  <si>
    <t>Новое строительство КЛ-10кВ взамен изношенных, определенных к замене по результатам обследования диагностической лаборатории</t>
  </si>
  <si>
    <t>Реконструкция ТП-1147 (замена оборудования 10кВ, 04кВ)</t>
  </si>
  <si>
    <t>Реконструкция ТП-123 (замена оборудования 10кВ, 04кВ)</t>
  </si>
  <si>
    <t>Реконструкция КНТП-52  (замена оборудования 10кВ, 04кВ)</t>
  </si>
  <si>
    <t>Реконструкция ТП-302 (замена оборудования 10кВ, 04кВ)</t>
  </si>
  <si>
    <t>Реконструкция ТП-384  (замена оборудования 10кВ, 04кВ)</t>
  </si>
  <si>
    <t>Реконструкция ТП-382 (замена оборудования 10кВ, 04кВ)</t>
  </si>
  <si>
    <t>Автокран  ( взамен автокрана КС-35715-1, № А 364АР35, 1997г.</t>
  </si>
  <si>
    <t>Рено-логан ( взамен Рено-Логан 2011г.)</t>
  </si>
  <si>
    <t>Автогидроподъемник ( взамен автоподьемника АПТЛ-17Б, №А971ЕТ35, 2003г.)</t>
  </si>
  <si>
    <t>ГАЗ - 330273 ( взамен ГАЗ-330273 №У119КВ35, 2009г.)</t>
  </si>
  <si>
    <t>Экскаватор-погрузчик  ( взамен экскаватора САТ-432 №8912ВУ35, 2004г.)</t>
  </si>
  <si>
    <t>Самосвал ГАЗ-САЗ-35071  ( взамен ГАЗ-САЗ-35071 №А166КХ35, 2004г.)</t>
  </si>
  <si>
    <t>ГАЗ - 330273 ( взамен ГАЗ-330273 №В246МК35, 2010г.)</t>
  </si>
  <si>
    <t>ГАЗ - 3309 ( взамен ГАЗ-3309 №А502ХС35, 2008г.)</t>
  </si>
  <si>
    <t>Ш-Нива ( взамен Ш.Нивы №А652УЕ35, 2009г.)</t>
  </si>
  <si>
    <t>Ниссан-Террано ( взамен Ниссан-Террано №Е065РА35, 2015г.)</t>
  </si>
  <si>
    <t>Экскаватор-погрузчик( взамен экскаватора САТ-434 №6423ВА35, 2008г.)</t>
  </si>
  <si>
    <t>Самосвал ГАЗ-САЗ-35071 ( взамен ГАЗ-САЗ-35071 №В049СА35, 2011г.)</t>
  </si>
  <si>
    <t>УАЗ - 390995 ( взамен УАЗ-390995 №Е041НВ35, 2013г.)</t>
  </si>
  <si>
    <t>УАЗ - 390995( взамен УАЗ-390995 №Е042НВ35, 2013г.)</t>
  </si>
  <si>
    <t>Хундай-Элантра( взамен Хундай-Элантра №Е126СН35, 2015г.)</t>
  </si>
  <si>
    <t>Автогидроподъемник ( взамен автогидроподьемника ПСС-131, №Е216МК35 2013г.)</t>
  </si>
  <si>
    <t>Экскаватор-погрузчик  ( взамен экскаватора САТ-432F, 2014г.)</t>
  </si>
  <si>
    <t>Новое строительство ТП-312 (демонтаж строительной части)</t>
  </si>
  <si>
    <t>Новое строительство ТП-303  (демонтаж строительной части)</t>
  </si>
  <si>
    <t>Новое строительство ТП-301  (демонтаж строительной части)</t>
  </si>
  <si>
    <t>Новое строительство ТП-34 (демонтаж строительной части)</t>
  </si>
  <si>
    <t xml:space="preserve">Нов. строительство КЛ-10 кВ ф. Матурино </t>
  </si>
  <si>
    <t>Новое строительство ВЛ-0,4кВ ф. Матурино</t>
  </si>
  <si>
    <t>Нов. строительство КЛ-10 кВ ГПП-Искра - РП- 13 каб.А, каб.В</t>
  </si>
  <si>
    <t>Реконструкция РП-Котельная №1 с установкой ячеек КСО, замена оборудования</t>
  </si>
  <si>
    <t>Реконструкция РП-10 с заменой  отходящих, вводных и секционного МВ на ВВ, реконструкция схемы РЗА</t>
  </si>
  <si>
    <t>Дизель-генератор (250кВа) на прицепе</t>
  </si>
  <si>
    <t>Реконструкция РП-9  с установкой ячеек КСО, замена оборудования</t>
  </si>
  <si>
    <t>2.2.1</t>
  </si>
  <si>
    <t>2.2.2</t>
  </si>
  <si>
    <t>2.2.3</t>
  </si>
  <si>
    <t>2.2.5</t>
  </si>
  <si>
    <t>2.2.6</t>
  </si>
  <si>
    <t>2.2.7</t>
  </si>
  <si>
    <t>2.2.8</t>
  </si>
  <si>
    <t>2.2.9</t>
  </si>
  <si>
    <t>2.2.10</t>
  </si>
  <si>
    <t>2.3.2</t>
  </si>
  <si>
    <t>2.3.3</t>
  </si>
  <si>
    <t>2.3.4</t>
  </si>
  <si>
    <t>2.3.5</t>
  </si>
  <si>
    <t>2.3.6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</si>
  <si>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</si>
  <si>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</si>
  <si>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</si>
  <si>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</si>
  <si>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</si>
  <si>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</si>
  <si>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</si>
  <si>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</si>
  <si>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</si>
  <si>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</si>
  <si>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</si>
  <si>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</si>
  <si>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</si>
  <si>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</si>
  <si>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</si>
  <si>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</si>
  <si>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</si>
  <si>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</si>
  <si>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</si>
  <si>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2.5.</t>
  </si>
  <si>
    <t>Модернизация ИСБ (интегрированной системы безопасности) электросетевого хозяйства</t>
  </si>
  <si>
    <t>ГАЗ - 27527 ( взамен ГАЗ-27527 №А245ХМ35, 2010г.) дизель</t>
  </si>
  <si>
    <t>ГАЗ - 27527( взамен ГАЗ-27527 №А512ХМ35, 2010г.) дизель</t>
  </si>
  <si>
    <t>ГАЗ - 27527 ( взамен ГАЗ-27527 №В552РХ35, 2012г.) дизель</t>
  </si>
  <si>
    <t>ГАЗ - 27527 ( взамен ГАЗ-27527 №В544РХ35, 2011г.) дизель</t>
  </si>
  <si>
    <t xml:space="preserve">ГАЗ - 27527  ( взамен ГАЗ-27527 №Е933АР35, 2013г.) дизель </t>
  </si>
  <si>
    <t>ГАЗ - 27527 ( взамен ГАЗ-27527 №Е934АР35, 2013г.) дизель</t>
  </si>
  <si>
    <t>ГАЗ - 27527  ( взамен ГАЗ-27527 №Е935АР35, 2013г.) дизель</t>
  </si>
  <si>
    <t>ГАЗ - 27057  ( взамен ГАЗ-27527 №Е997МЕ35, 2013г.) дизель</t>
  </si>
  <si>
    <t>Новое строительство БКТП ЗШК, ф. Матурино</t>
  </si>
  <si>
    <t>Реконструкция ВЛ-10 кВ</t>
  </si>
  <si>
    <t>Реконструкция ВЛ-10 кВ ТП-3 - КТП- 5 в п. Кадуй</t>
  </si>
  <si>
    <t>Реконструкция ВЛ-10 кВ ТП-12 - ТП- 8А в п. Кадуй</t>
  </si>
  <si>
    <t>Реконструкция ВЛ-10 кВ КТП-9 - ТП- 12  в п. Кадуй</t>
  </si>
  <si>
    <t>Реконструкция ВЛ-10 кВ оп. №40 - КТПН-газовая котельная   в п. Кадуй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</si>
  <si>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</si>
  <si>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</si>
  <si>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</si>
  <si>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</si>
  <si>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</si>
  <si>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</si>
  <si>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</si>
  <si>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</si>
  <si>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</si>
  <si>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</si>
  <si>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</si>
  <si>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</si>
  <si>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</si>
  <si>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</si>
  <si>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</si>
  <si>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</si>
  <si>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</si>
  <si>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</si>
  <si>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</si>
  <si>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</si>
  <si>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</si>
  <si>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</si>
  <si>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</si>
  <si>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</si>
  <si>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</si>
  <si>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</si>
  <si>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</si>
  <si>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</si>
  <si>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</si>
  <si>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1.3.1.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</si>
  <si>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</si>
  <si>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</si>
  <si>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</si>
  <si>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</si>
  <si>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</si>
  <si>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</si>
  <si>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</si>
  <si>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</si>
  <si>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</si>
  <si>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</si>
  <si>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</si>
  <si>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</si>
  <si>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</si>
  <si>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</si>
  <si>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</si>
  <si>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Начальник ПТС  МУП "Электросеть"</t>
  </si>
  <si>
    <t>А.Ю. Прямикова</t>
  </si>
  <si>
    <t>Начальник ПЭО МУП "Электросеть"</t>
  </si>
  <si>
    <t>А.И. Борисов</t>
  </si>
  <si>
    <t>МАЗ 5550С3-521-000 (вместо Самосвал гос.№278)</t>
  </si>
  <si>
    <t>Создание системы телемеханики на ТП</t>
  </si>
  <si>
    <t xml:space="preserve"> АИИС КУЭ нижнего уровня новое строительство</t>
  </si>
  <si>
    <t>12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</si>
  <si>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</si>
  <si>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</si>
  <si>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</si>
  <si>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</si>
  <si>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</si>
  <si>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</si>
  <si>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</si>
  <si>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</si>
  <si>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</si>
  <si>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</si>
  <si>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</si>
  <si>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1.3.2.</t>
  </si>
  <si>
    <t>1.3.3.</t>
  </si>
  <si>
    <t xml:space="preserve"> 2,937 км КЛ-0,4 кВ                  5,01 км ВЛ-0,4 кВ               </t>
  </si>
  <si>
    <t xml:space="preserve">                   14,685 км КЛ-0,4 кВ                  25,05 км ВЛ-0,4 кВ                        </t>
  </si>
  <si>
    <t>Утверждаю:</t>
  </si>
  <si>
    <t>"______"_________________2019 г.</t>
  </si>
  <si>
    <t>Директор МУП "Электросеть"</t>
  </si>
  <si>
    <t>__________________С.П. Бречалов</t>
  </si>
  <si>
    <t>1.21</t>
  </si>
  <si>
    <t>2.16</t>
  </si>
  <si>
    <t>2.16.1</t>
  </si>
  <si>
    <t>2.16.2</t>
  </si>
  <si>
    <t>2.16.3</t>
  </si>
  <si>
    <t>2.16.4</t>
  </si>
  <si>
    <t>2.16.5</t>
  </si>
  <si>
    <t>2.3.27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</si>
</sst>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0"/>
  </numFmts>
  <fonts count="16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164" fontId="1" fillId="0" borderId="0" xfId="0" applyNumberFormat="1" applyFont="1" applyFill="1"/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vertical="center"/>
    </xf>
    <xf numFmtId="164" fontId="1" fillId="5" borderId="9" xfId="0" applyNumberFormat="1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5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9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/>
    <xf numFmtId="164" fontId="6" fillId="0" borderId="8" xfId="0" applyNumberFormat="1" applyFont="1" applyFill="1" applyBorder="1" applyAlignment="1">
      <alignment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21" xfId="0" applyNumberFormat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16" fontId="2" fillId="6" borderId="7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vertical="center"/>
    </xf>
    <xf numFmtId="164" fontId="1" fillId="6" borderId="8" xfId="0" applyNumberFormat="1" applyFont="1" applyFill="1" applyBorder="1" applyAlignment="1">
      <alignment vertical="center"/>
    </xf>
    <xf numFmtId="164" fontId="1" fillId="6" borderId="9" xfId="0" applyNumberFormat="1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49" fontId="9" fillId="6" borderId="7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vertical="center"/>
    </xf>
    <xf numFmtId="164" fontId="9" fillId="6" borderId="9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16" fontId="9" fillId="6" borderId="7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vertical="center" wrapText="1"/>
    </xf>
    <xf numFmtId="0" fontId="11" fillId="6" borderId="0" xfId="0" applyFont="1" applyFill="1" applyAlignment="1">
      <alignment vertical="center"/>
    </xf>
    <xf numFmtId="0" fontId="6" fillId="6" borderId="8" xfId="0" applyFont="1" applyFill="1" applyBorder="1" applyAlignment="1">
      <alignment horizontal="left" vertical="center" wrapText="1"/>
    </xf>
    <xf numFmtId="164" fontId="6" fillId="6" borderId="8" xfId="0" applyNumberFormat="1" applyFont="1" applyFill="1" applyBorder="1" applyAlignment="1">
      <alignment horizontal="left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vertical="center"/>
    </xf>
    <xf numFmtId="164" fontId="6" fillId="6" borderId="9" xfId="0" applyNumberFormat="1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164" fontId="9" fillId="6" borderId="8" xfId="1" applyNumberFormat="1" applyFont="1" applyFill="1" applyBorder="1" applyAlignment="1">
      <alignment horizontal="center" vertical="center" wrapText="1"/>
    </xf>
    <xf numFmtId="164" fontId="6" fillId="6" borderId="9" xfId="0" applyNumberFormat="1" applyFont="1" applyFill="1" applyBorder="1" applyAlignment="1">
      <alignment vertical="center" wrapText="1"/>
    </xf>
    <xf numFmtId="49" fontId="6" fillId="6" borderId="7" xfId="0" applyNumberFormat="1" applyFont="1" applyFill="1" applyBorder="1" applyAlignment="1">
      <alignment horizontal="center" vertical="center" wrapText="1"/>
    </xf>
    <xf numFmtId="164" fontId="6" fillId="6" borderId="8" xfId="1" applyNumberFormat="1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164" fontId="9" fillId="6" borderId="8" xfId="0" applyNumberFormat="1" applyFont="1" applyFill="1" applyBorder="1" applyAlignment="1">
      <alignment horizontal="left" vertical="center" wrapText="1"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 wrapText="1"/>
    </xf>
    <xf numFmtId="164" fontId="9" fillId="6" borderId="11" xfId="0" applyNumberFormat="1" applyFont="1" applyFill="1" applyBorder="1" applyAlignment="1">
      <alignment horizontal="center" vertical="center" wrapText="1"/>
    </xf>
    <xf numFmtId="164" fontId="9" fillId="6" borderId="11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_Инвестиции Сети Сбыты ЭСО" xfId="1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916"/>
  <sheetViews>
    <sheetView tabSelected="1" view="pageBreakPreview" topLeftCell="A133" zoomScale="50" zoomScaleNormal="70" zoomScaleSheetLayoutView="50" zoomScalePageLayoutView="85" workbookViewId="0">
      <selection activeCell="B105" sqref="B105"/>
    </sheetView>
  </sheetViews>
  <sheetFormatPr defaultColWidth="9" defaultRowHeight="15.6" outlineLevelCol="2"/>
  <cols>
    <col min="1" max="1" width="9" style="1" customWidth="1"/>
    <col min="2" max="2" width="41.8984375" style="1" customWidth="1"/>
    <col min="3" max="3" width="8.8984375" style="1" customWidth="1"/>
    <col min="4" max="4" width="12.8984375" style="1" customWidth="1"/>
    <col min="5" max="5" width="10.3984375" style="1" customWidth="1"/>
    <col min="6" max="6" width="12.59765625" style="1" customWidth="1"/>
    <col min="7" max="7" width="15.19921875" style="41" customWidth="1" outlineLevel="1"/>
    <col min="8" max="8" width="15.19921875" style="41" customWidth="1" outlineLevel="2"/>
    <col min="9" max="9" width="13.19921875" style="41" customWidth="1" outlineLevel="2"/>
    <col min="10" max="10" width="14.19921875" style="41" customWidth="1" outlineLevel="2"/>
    <col min="11" max="11" width="14.19921875" style="1" customWidth="1" outlineLevel="2"/>
    <col min="12" max="12" width="14.19921875" style="41" customWidth="1" outlineLevel="2"/>
    <col min="13" max="13" width="13.5" style="41" customWidth="1" outlineLevel="2"/>
    <col min="14" max="14" width="14.5" style="41" customWidth="1" outlineLevel="2"/>
    <col min="15" max="15" width="11" style="42" customWidth="1" outlineLevel="1"/>
    <col min="16" max="16" width="12.59765625" style="2" customWidth="1" outlineLevel="1"/>
    <col min="17" max="17" width="12.59765625" style="31" customWidth="1" outlineLevel="1"/>
    <col min="18" max="18" width="12.59765625" style="2" customWidth="1" outlineLevel="1"/>
    <col min="19" max="19" width="12" style="42" customWidth="1" outlineLevel="1"/>
    <col min="20" max="20" width="11.09765625" style="41" customWidth="1" outlineLevel="1"/>
    <col min="21" max="21" width="11.09765625" style="1" customWidth="1"/>
    <col min="22" max="22" width="12" style="1" customWidth="1"/>
    <col min="23" max="23" width="11.09765625" style="43" customWidth="1"/>
    <col min="24" max="24" width="11.09765625" style="1" customWidth="1"/>
    <col min="25" max="25" width="11.19921875" style="1" customWidth="1"/>
    <col min="26" max="30" width="11.19921875" style="41" customWidth="1"/>
    <col min="31" max="31" width="11.8984375" style="1" customWidth="1"/>
    <col min="32" max="32" width="12.09765625" style="1" customWidth="1"/>
    <col min="33" max="33" width="25" style="1" customWidth="1"/>
    <col min="34" max="16384" width="9" style="1"/>
  </cols>
  <sheetData>
    <row r="1" spans="1:39" ht="21">
      <c r="D1" s="4"/>
      <c r="F1" s="4"/>
      <c r="G1" s="1"/>
      <c r="H1" s="1"/>
      <c r="I1" s="4"/>
      <c r="J1" s="1"/>
      <c r="K1" s="47"/>
      <c r="L1" s="5"/>
      <c r="M1" s="6"/>
      <c r="N1" s="6"/>
      <c r="O1" s="6"/>
      <c r="P1" s="3"/>
      <c r="Q1" s="67"/>
      <c r="R1" s="17"/>
      <c r="S1" s="2"/>
      <c r="T1" s="10"/>
      <c r="W1" s="4"/>
      <c r="X1" s="3"/>
      <c r="Y1" s="7"/>
      <c r="Z1" s="1"/>
      <c r="AA1" s="9"/>
      <c r="AB1" s="4"/>
      <c r="AC1" s="4"/>
      <c r="AD1" s="4"/>
      <c r="AG1" s="124" t="s">
        <v>283</v>
      </c>
    </row>
    <row r="2" spans="1:39" ht="20.25" customHeight="1">
      <c r="G2" s="1"/>
      <c r="H2" s="1"/>
      <c r="I2" s="1"/>
      <c r="J2" s="1"/>
      <c r="K2" s="47"/>
      <c r="L2" s="5"/>
      <c r="M2" s="6"/>
      <c r="N2" s="6"/>
      <c r="O2" s="2"/>
      <c r="R2" s="17"/>
      <c r="S2" s="4"/>
      <c r="T2" s="1"/>
      <c r="W2" s="4"/>
      <c r="X2" s="3"/>
      <c r="Y2" s="7"/>
      <c r="Z2" s="1"/>
      <c r="AA2" s="10"/>
      <c r="AB2" s="10"/>
      <c r="AC2" s="10"/>
      <c r="AD2" s="11"/>
      <c r="AG2" s="124" t="s">
        <v>285</v>
      </c>
    </row>
    <row r="3" spans="1:39" ht="20.25" customHeight="1">
      <c r="G3" s="1"/>
      <c r="H3" s="1"/>
      <c r="I3" s="1"/>
      <c r="J3" s="1"/>
      <c r="K3" s="47"/>
      <c r="L3" s="5"/>
      <c r="M3" s="6"/>
      <c r="N3" s="6"/>
      <c r="O3" s="2"/>
      <c r="R3" s="17"/>
      <c r="S3" s="4"/>
      <c r="T3" s="1"/>
      <c r="W3" s="4"/>
      <c r="X3" s="3"/>
      <c r="Y3" s="7"/>
      <c r="Z3" s="1"/>
      <c r="AA3" s="10"/>
      <c r="AB3" s="10"/>
      <c r="AC3" s="10"/>
      <c r="AD3" s="11"/>
      <c r="AG3" s="124"/>
    </row>
    <row r="4" spans="1:39" ht="21">
      <c r="G4" s="1"/>
      <c r="H4" s="1"/>
      <c r="I4" s="1"/>
      <c r="J4" s="1"/>
      <c r="K4" s="47"/>
      <c r="L4" s="5"/>
      <c r="M4" s="6"/>
      <c r="N4" s="12"/>
      <c r="O4" s="64"/>
      <c r="P4" s="65"/>
      <c r="Q4" s="67"/>
      <c r="R4" s="11"/>
      <c r="S4" s="4"/>
      <c r="T4" s="4" t="s">
        <v>0</v>
      </c>
      <c r="W4" s="4"/>
      <c r="X4" s="3"/>
      <c r="Z4" s="1"/>
      <c r="AA4" s="8"/>
      <c r="AB4" s="8"/>
      <c r="AC4" s="8"/>
      <c r="AD4" s="4"/>
      <c r="AE4" s="18"/>
      <c r="AF4" s="18"/>
      <c r="AG4" s="125" t="s">
        <v>286</v>
      </c>
    </row>
    <row r="5" spans="1:39" ht="21">
      <c r="G5" s="1"/>
      <c r="H5" s="1"/>
      <c r="I5" s="1"/>
      <c r="J5" s="1"/>
      <c r="K5" s="47"/>
      <c r="L5" s="5"/>
      <c r="M5" s="6"/>
      <c r="N5" s="12"/>
      <c r="O5" s="64"/>
      <c r="P5" s="65"/>
      <c r="Q5" s="67"/>
      <c r="R5" s="11"/>
      <c r="S5" s="4"/>
      <c r="T5" s="4"/>
      <c r="W5" s="4"/>
      <c r="X5" s="3"/>
      <c r="Z5" s="1"/>
      <c r="AA5" s="8"/>
      <c r="AB5" s="8"/>
      <c r="AC5" s="8"/>
      <c r="AD5" s="4"/>
      <c r="AE5" s="18"/>
      <c r="AF5" s="18"/>
      <c r="AG5" s="125"/>
    </row>
    <row r="6" spans="1:39" ht="21" customHeight="1">
      <c r="D6" s="13"/>
      <c r="G6" s="1"/>
      <c r="H6" s="1"/>
      <c r="I6" s="13"/>
      <c r="J6" s="14"/>
      <c r="K6" s="48"/>
      <c r="L6" s="13"/>
      <c r="M6" s="6"/>
      <c r="N6" s="6"/>
      <c r="O6" s="6"/>
      <c r="P6" s="15"/>
      <c r="Q6" s="68"/>
      <c r="R6" s="83"/>
      <c r="S6" s="13"/>
      <c r="T6" s="13"/>
      <c r="W6" s="4"/>
      <c r="X6" s="3"/>
      <c r="Z6" s="1"/>
      <c r="AA6" s="1"/>
      <c r="AB6" s="1"/>
      <c r="AC6" s="1"/>
      <c r="AD6" s="1"/>
      <c r="AG6" s="124" t="s">
        <v>284</v>
      </c>
    </row>
    <row r="7" spans="1:39" ht="20.399999999999999">
      <c r="A7" s="182" t="s">
        <v>67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</row>
    <row r="8" spans="1:39" ht="17.399999999999999">
      <c r="A8" s="168" t="s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</row>
    <row r="9" spans="1:39" ht="17.399999999999999">
      <c r="D9" s="168"/>
      <c r="E9" s="168"/>
      <c r="F9" s="168"/>
      <c r="G9" s="168"/>
      <c r="H9" s="168"/>
      <c r="I9" s="168"/>
      <c r="J9" s="168"/>
      <c r="K9" s="168"/>
      <c r="L9" s="19"/>
      <c r="M9" s="19"/>
      <c r="N9" s="19"/>
      <c r="O9" s="119">
        <f>O10-O14</f>
        <v>2.6000873276643688E-7</v>
      </c>
      <c r="P9" s="120">
        <f t="shared" ref="P9:Y9" si="0">P10-P14</f>
        <v>-3.6453268137393025E-6</v>
      </c>
      <c r="Q9" s="120">
        <f t="shared" si="0"/>
        <v>-2.9162307839669666E-6</v>
      </c>
      <c r="R9" s="120">
        <f t="shared" si="0"/>
        <v>-3.3224780224827555E-6</v>
      </c>
      <c r="S9" s="120">
        <f t="shared" si="0"/>
        <v>2.0407374563546909E-6</v>
      </c>
      <c r="T9" s="121">
        <f t="shared" si="0"/>
        <v>-7.5832895163330249E-6</v>
      </c>
      <c r="U9" s="119">
        <f t="shared" si="0"/>
        <v>2.6000873276643688E-7</v>
      </c>
      <c r="V9" s="119">
        <f t="shared" si="0"/>
        <v>-3.6453268137393025E-6</v>
      </c>
      <c r="W9" s="121">
        <f t="shared" si="0"/>
        <v>-2.916230812388676E-6</v>
      </c>
      <c r="X9" s="121">
        <f t="shared" si="0"/>
        <v>-3.3224780224827555E-6</v>
      </c>
      <c r="Y9" s="120">
        <f t="shared" si="0"/>
        <v>2.0407374563546909E-6</v>
      </c>
      <c r="Z9" s="16"/>
      <c r="AA9" s="1"/>
      <c r="AB9" s="1"/>
      <c r="AC9" s="1"/>
      <c r="AD9" s="1"/>
    </row>
    <row r="10" spans="1:39" ht="16.8" thickBot="1">
      <c r="G10" s="1"/>
      <c r="H10" s="1"/>
      <c r="I10" s="1"/>
      <c r="J10" s="1"/>
      <c r="L10" s="1"/>
      <c r="M10" s="1"/>
      <c r="N10" s="1"/>
      <c r="O10" s="122">
        <f>U10+Z14</f>
        <v>197.08748780538056</v>
      </c>
      <c r="P10" s="122">
        <f t="shared" ref="P10:S10" si="1">V10+AA14</f>
        <v>207.35011092734734</v>
      </c>
      <c r="Q10" s="122">
        <f t="shared" si="1"/>
        <v>194.24308425516779</v>
      </c>
      <c r="R10" s="122">
        <f t="shared" si="1"/>
        <v>193.15487061431247</v>
      </c>
      <c r="S10" s="122">
        <f t="shared" si="1"/>
        <v>202.2845501208989</v>
      </c>
      <c r="T10" s="122">
        <f>O10+P10+Q10+R10+S10</f>
        <v>994.12010372310704</v>
      </c>
      <c r="U10" s="122">
        <v>173.51900000000001</v>
      </c>
      <c r="V10" s="122">
        <v>183.05099999999999</v>
      </c>
      <c r="W10" s="122">
        <v>169.215</v>
      </c>
      <c r="X10" s="123">
        <v>167.42599999999999</v>
      </c>
      <c r="Y10" s="122">
        <v>175.86099999999999</v>
      </c>
      <c r="Z10" s="20"/>
      <c r="AA10" s="66"/>
      <c r="AB10" s="1"/>
      <c r="AC10" s="1"/>
      <c r="AD10" s="1"/>
    </row>
    <row r="11" spans="1:39">
      <c r="A11" s="169" t="s">
        <v>2</v>
      </c>
      <c r="B11" s="172" t="s">
        <v>3</v>
      </c>
      <c r="C11" s="172" t="s">
        <v>4</v>
      </c>
      <c r="D11" s="172" t="s">
        <v>5</v>
      </c>
      <c r="E11" s="172" t="s">
        <v>6</v>
      </c>
      <c r="F11" s="172" t="s">
        <v>7</v>
      </c>
      <c r="G11" s="172" t="s">
        <v>8</v>
      </c>
      <c r="H11" s="172" t="s">
        <v>9</v>
      </c>
      <c r="I11" s="175" t="s">
        <v>10</v>
      </c>
      <c r="J11" s="175"/>
      <c r="K11" s="175"/>
      <c r="L11" s="175"/>
      <c r="M11" s="175"/>
      <c r="N11" s="175"/>
      <c r="O11" s="175" t="s">
        <v>11</v>
      </c>
      <c r="P11" s="175"/>
      <c r="Q11" s="175"/>
      <c r="R11" s="175"/>
      <c r="S11" s="175"/>
      <c r="T11" s="176"/>
      <c r="U11" s="176" t="s">
        <v>12</v>
      </c>
      <c r="V11" s="177"/>
      <c r="W11" s="177"/>
      <c r="X11" s="178"/>
      <c r="Y11" s="177"/>
      <c r="Z11" s="177"/>
      <c r="AA11" s="177"/>
      <c r="AB11" s="177"/>
      <c r="AC11" s="177"/>
      <c r="AD11" s="177"/>
      <c r="AE11" s="177"/>
      <c r="AF11" s="179"/>
      <c r="AG11" s="21"/>
    </row>
    <row r="12" spans="1:39" ht="109.2">
      <c r="A12" s="170"/>
      <c r="B12" s="173"/>
      <c r="C12" s="173"/>
      <c r="D12" s="173"/>
      <c r="E12" s="173"/>
      <c r="F12" s="173"/>
      <c r="G12" s="173"/>
      <c r="H12" s="173"/>
      <c r="I12" s="22" t="s">
        <v>103</v>
      </c>
      <c r="J12" s="22" t="s">
        <v>104</v>
      </c>
      <c r="K12" s="46" t="s">
        <v>105</v>
      </c>
      <c r="L12" s="22" t="s">
        <v>106</v>
      </c>
      <c r="M12" s="22" t="s">
        <v>107</v>
      </c>
      <c r="N12" s="22" t="s">
        <v>13</v>
      </c>
      <c r="O12" s="22" t="s">
        <v>103</v>
      </c>
      <c r="P12" s="22" t="s">
        <v>104</v>
      </c>
      <c r="Q12" s="26" t="s">
        <v>105</v>
      </c>
      <c r="R12" s="50" t="s">
        <v>106</v>
      </c>
      <c r="S12" s="22" t="s">
        <v>107</v>
      </c>
      <c r="T12" s="22" t="s">
        <v>13</v>
      </c>
      <c r="U12" s="81" t="s">
        <v>98</v>
      </c>
      <c r="V12" s="81" t="s">
        <v>99</v>
      </c>
      <c r="W12" s="81" t="s">
        <v>100</v>
      </c>
      <c r="X12" s="81" t="s">
        <v>101</v>
      </c>
      <c r="Y12" s="81" t="s">
        <v>102</v>
      </c>
      <c r="Z12" s="81" t="s">
        <v>108</v>
      </c>
      <c r="AA12" s="81" t="s">
        <v>109</v>
      </c>
      <c r="AB12" s="81" t="s">
        <v>110</v>
      </c>
      <c r="AC12" s="81" t="s">
        <v>111</v>
      </c>
      <c r="AD12" s="81" t="s">
        <v>112</v>
      </c>
      <c r="AE12" s="81" t="s">
        <v>14</v>
      </c>
      <c r="AF12" s="81" t="s">
        <v>15</v>
      </c>
      <c r="AG12" s="82" t="s">
        <v>16</v>
      </c>
    </row>
    <row r="13" spans="1:39" ht="31.8" thickBot="1">
      <c r="A13" s="171"/>
      <c r="B13" s="174"/>
      <c r="C13" s="23" t="s">
        <v>17</v>
      </c>
      <c r="D13" s="23" t="s">
        <v>18</v>
      </c>
      <c r="E13" s="174"/>
      <c r="F13" s="174"/>
      <c r="G13" s="23" t="s">
        <v>19</v>
      </c>
      <c r="H13" s="23" t="s">
        <v>19</v>
      </c>
      <c r="I13" s="23" t="s">
        <v>18</v>
      </c>
      <c r="J13" s="23" t="s">
        <v>18</v>
      </c>
      <c r="K13" s="23" t="s">
        <v>18</v>
      </c>
      <c r="L13" s="23" t="s">
        <v>18</v>
      </c>
      <c r="M13" s="23" t="s">
        <v>18</v>
      </c>
      <c r="N13" s="23" t="s">
        <v>18</v>
      </c>
      <c r="O13" s="23" t="s">
        <v>19</v>
      </c>
      <c r="P13" s="23" t="s">
        <v>19</v>
      </c>
      <c r="Q13" s="69" t="s">
        <v>19</v>
      </c>
      <c r="R13" s="23" t="s">
        <v>19</v>
      </c>
      <c r="S13" s="23" t="s">
        <v>19</v>
      </c>
      <c r="T13" s="24" t="s">
        <v>19</v>
      </c>
      <c r="U13" s="24" t="s">
        <v>19</v>
      </c>
      <c r="V13" s="24" t="s">
        <v>19</v>
      </c>
      <c r="W13" s="24" t="s">
        <v>19</v>
      </c>
      <c r="X13" s="24" t="s">
        <v>19</v>
      </c>
      <c r="Y13" s="24" t="s">
        <v>19</v>
      </c>
      <c r="Z13" s="24" t="s">
        <v>19</v>
      </c>
      <c r="AA13" s="24" t="s">
        <v>19</v>
      </c>
      <c r="AB13" s="24" t="s">
        <v>19</v>
      </c>
      <c r="AC13" s="24" t="s">
        <v>19</v>
      </c>
      <c r="AD13" s="24" t="s">
        <v>19</v>
      </c>
      <c r="AE13" s="24" t="s">
        <v>19</v>
      </c>
      <c r="AF13" s="24" t="s">
        <v>19</v>
      </c>
      <c r="AG13" s="25"/>
    </row>
    <row r="14" spans="1:39">
      <c r="A14" s="51"/>
      <c r="B14" s="52" t="s">
        <v>20</v>
      </c>
      <c r="C14" s="52"/>
      <c r="D14" s="53"/>
      <c r="E14" s="52"/>
      <c r="F14" s="52"/>
      <c r="G14" s="54">
        <f>G16+G27+G46+G62+G68+G41+G82+G84+G86+G94+G105+G133+G134</f>
        <v>994.12011130639632</v>
      </c>
      <c r="H14" s="54">
        <f>G14</f>
        <v>994.12011130639632</v>
      </c>
      <c r="I14" s="55"/>
      <c r="J14" s="55"/>
      <c r="K14" s="55"/>
      <c r="L14" s="55"/>
      <c r="M14" s="55"/>
      <c r="N14" s="55"/>
      <c r="O14" s="54">
        <f>O16+O27+O46+O62+O68+O41+O82+O84+O86+O94+O105+O133+O134</f>
        <v>197.08748754537183</v>
      </c>
      <c r="P14" s="54">
        <f>P16+P27+P46+P62+P68+P41+P82+P84+P86+P94+P105+P133+P134</f>
        <v>207.35011457267416</v>
      </c>
      <c r="Q14" s="54">
        <f>Q16+Q27+Q46+Q62+Q68+Q41+Q82+Q84+Q86+Q94+Q105+Q133+Q134</f>
        <v>194.24308717139857</v>
      </c>
      <c r="R14" s="54">
        <f>R16+R27+R46+R62+R68+R41+R82+R84+R86+R94+R105+R133+R134</f>
        <v>193.15487393679049</v>
      </c>
      <c r="S14" s="54">
        <f>S16+S27+S46+S62+S68+S41+S82+S84+S86+S94+S105+S133+S134</f>
        <v>202.28454808016144</v>
      </c>
      <c r="T14" s="54">
        <f>O14+P14+Q14+R14+S14</f>
        <v>994.12011130639655</v>
      </c>
      <c r="U14" s="54">
        <f>U16+U27+U46+U62+U68+U41+U82+U84+U86+U94+U105</f>
        <v>173.51899973999127</v>
      </c>
      <c r="V14" s="54">
        <f>V16+V27+V46+V62+V68+V41+V82+V84+V86+V94+V105</f>
        <v>183.0510036453268</v>
      </c>
      <c r="W14" s="54">
        <f>W16+W27+W46+W62+W68+W41+W82+W84+W86+W94+W105</f>
        <v>169.21500291623082</v>
      </c>
      <c r="X14" s="54">
        <f>X16+X27+X46+X62+X68+X41+X82+X84+X86+X94+X105</f>
        <v>167.42600332247801</v>
      </c>
      <c r="Y14" s="54">
        <f>Y16+Y27+Y46+Y62+Y68+Y41+Y82+Y84+Y86+Y94+Y105</f>
        <v>175.86099795926253</v>
      </c>
      <c r="Z14" s="54">
        <f>Z16+Z27+Z46+Z62+Z68+Z41+Z82+Z84+Z86+Z94+Z105+Z133+Z134</f>
        <v>23.56848780538056</v>
      </c>
      <c r="AA14" s="54">
        <f>AA16+AA27+AA46+AA62+AA68+AA41+AA82+AA84+AA86+AA94+AA105+AA133+AA134</f>
        <v>24.299110927347357</v>
      </c>
      <c r="AB14" s="54">
        <f>AB16+AB27+AB46+AB62+AB68+AB41+AB82+AB84+AB86+AB94+AB105+AB133+AB134</f>
        <v>25.028084255167776</v>
      </c>
      <c r="AC14" s="54">
        <f>AC16+AC27+AC46+AC62+AC68+AC41+AC82+AC84+AC86+AC94+AC105+AC133+AC134</f>
        <v>25.728870614312473</v>
      </c>
      <c r="AD14" s="54">
        <f>AD16+AD27+AD46+AD62+AD68+AD41+AD82+AD84+AD86+AD94+AD105+AD133+AD134</f>
        <v>26.423550120898906</v>
      </c>
      <c r="AE14" s="56"/>
      <c r="AF14" s="56"/>
      <c r="AG14" s="57"/>
    </row>
    <row r="15" spans="1:39" s="28" customFormat="1" ht="34.799999999999997">
      <c r="A15" s="58">
        <v>1</v>
      </c>
      <c r="B15" s="72" t="s">
        <v>21</v>
      </c>
      <c r="C15" s="59"/>
      <c r="D15" s="59"/>
      <c r="E15" s="59"/>
      <c r="F15" s="59"/>
      <c r="G15" s="63"/>
      <c r="H15" s="63"/>
      <c r="I15" s="60"/>
      <c r="J15" s="60"/>
      <c r="K15" s="60"/>
      <c r="L15" s="60"/>
      <c r="M15" s="60"/>
      <c r="N15" s="60"/>
      <c r="O15" s="63"/>
      <c r="P15" s="63"/>
      <c r="Q15" s="63"/>
      <c r="R15" s="63"/>
      <c r="S15" s="63"/>
      <c r="T15" s="60"/>
      <c r="U15" s="63"/>
      <c r="V15" s="63"/>
      <c r="W15" s="63"/>
      <c r="X15" s="63"/>
      <c r="Y15" s="63"/>
      <c r="Z15" s="61"/>
      <c r="AA15" s="61"/>
      <c r="AB15" s="61"/>
      <c r="AC15" s="61"/>
      <c r="AD15" s="61"/>
      <c r="AE15" s="61"/>
      <c r="AF15" s="61"/>
      <c r="AG15" s="62"/>
      <c r="AH15" s="1"/>
      <c r="AI15" s="1"/>
      <c r="AJ15" s="1"/>
      <c r="AK15" s="1"/>
      <c r="AL15" s="1"/>
      <c r="AM15" s="1"/>
    </row>
    <row r="16" spans="1:39" s="134" customFormat="1" ht="17.399999999999999">
      <c r="A16" s="127"/>
      <c r="B16" s="166" t="s">
        <v>22</v>
      </c>
      <c r="C16" s="128"/>
      <c r="D16" s="128">
        <f>SUM(D17:D26)</f>
        <v>174.54999999999998</v>
      </c>
      <c r="E16" s="128"/>
      <c r="F16" s="128"/>
      <c r="G16" s="129">
        <f>SUM(G17:G26)</f>
        <v>31.577388932678161</v>
      </c>
      <c r="H16" s="129">
        <f>SUM(H17:H26)</f>
        <v>31.577388932678161</v>
      </c>
      <c r="I16" s="130" t="s">
        <v>23</v>
      </c>
      <c r="J16" s="130" t="s">
        <v>23</v>
      </c>
      <c r="K16" s="130" t="s">
        <v>23</v>
      </c>
      <c r="L16" s="130" t="s">
        <v>23</v>
      </c>
      <c r="M16" s="130" t="s">
        <v>23</v>
      </c>
      <c r="N16" s="130" t="s">
        <v>23</v>
      </c>
      <c r="O16" s="129">
        <f t="shared" ref="O16:Y16" si="2">SUM(O17:O26)</f>
        <v>4.511023776</v>
      </c>
      <c r="P16" s="129">
        <f t="shared" si="2"/>
        <v>6.0877229444388004</v>
      </c>
      <c r="Q16" s="129">
        <f t="shared" si="2"/>
        <v>6.3176565398529227</v>
      </c>
      <c r="R16" s="129">
        <f t="shared" si="2"/>
        <v>6.036274728252959</v>
      </c>
      <c r="S16" s="129">
        <f t="shared" si="2"/>
        <v>8.624710944133481</v>
      </c>
      <c r="T16" s="129">
        <f t="shared" si="2"/>
        <v>31.577388932678161</v>
      </c>
      <c r="U16" s="129">
        <f t="shared" si="2"/>
        <v>4.511023776</v>
      </c>
      <c r="V16" s="129">
        <f t="shared" si="2"/>
        <v>6.0877229444388004</v>
      </c>
      <c r="W16" s="129">
        <f t="shared" si="2"/>
        <v>6.3176565398529227</v>
      </c>
      <c r="X16" s="129">
        <f t="shared" si="2"/>
        <v>6.036274728252959</v>
      </c>
      <c r="Y16" s="129">
        <f t="shared" si="2"/>
        <v>8.624710944133481</v>
      </c>
      <c r="Z16" s="131">
        <f>SUM(Z17:Z18)</f>
        <v>0</v>
      </c>
      <c r="AA16" s="131">
        <f>SUM(AA17:AA18)</f>
        <v>0</v>
      </c>
      <c r="AB16" s="131">
        <f>SUM(AB17:AB18)</f>
        <v>0</v>
      </c>
      <c r="AC16" s="131">
        <f>SUM(AC17:AC18)</f>
        <v>0</v>
      </c>
      <c r="AD16" s="131">
        <f>SUM(AD17:AD18)</f>
        <v>0</v>
      </c>
      <c r="AE16" s="132"/>
      <c r="AF16" s="132"/>
      <c r="AG16" s="133"/>
    </row>
    <row r="17" spans="1:39" s="30" customFormat="1" ht="72">
      <c r="A17" s="84" t="s">
        <v>215</v>
      </c>
      <c r="B17" s="85" t="s">
        <v>24</v>
      </c>
      <c r="C17" s="86" t="s">
        <v>25</v>
      </c>
      <c r="D17" s="78">
        <f>N17</f>
        <v>64</v>
      </c>
      <c r="E17" s="86">
        <v>2020</v>
      </c>
      <c r="F17" s="86">
        <v>2024</v>
      </c>
      <c r="G17" s="74">
        <f>SUM(O17:S17)</f>
        <v>4.6959656581117315</v>
      </c>
      <c r="H17" s="74">
        <f t="shared" ref="H17:H26" si="3">T17</f>
        <v>4.6959656581117315</v>
      </c>
      <c r="I17" s="74">
        <v>6</v>
      </c>
      <c r="J17" s="74">
        <v>8</v>
      </c>
      <c r="K17" s="74">
        <v>8</v>
      </c>
      <c r="L17" s="74">
        <v>21</v>
      </c>
      <c r="M17" s="74">
        <v>21</v>
      </c>
      <c r="N17" s="74">
        <f>I17+J17+K17+L17+M17</f>
        <v>64</v>
      </c>
      <c r="O17" s="74">
        <f xml:space="preserve"> 0.06176*6*1.05*1.048</f>
        <v>0.40776422400000001</v>
      </c>
      <c r="P17" s="74">
        <f xml:space="preserve"> 0.06176*8*1.05*1.048*1.03</f>
        <v>0.55999620096000013</v>
      </c>
      <c r="Q17" s="74">
        <f xml:space="preserve"> 0.06176*8*1.05*1.048*1.031*1.03</f>
        <v>0.57735608318976006</v>
      </c>
      <c r="R17" s="74">
        <f xml:space="preserve"> 1.294*1.05*1.048*1.031*1.03*1.028</f>
        <v>1.554439639843104</v>
      </c>
      <c r="S17" s="74">
        <f xml:space="preserve"> 1.294*1.05*1.048*1.031*1.03*1.028*1.027</f>
        <v>1.5964095101188676</v>
      </c>
      <c r="T17" s="74">
        <f>SUM(O17:S17)</f>
        <v>4.6959656581117315</v>
      </c>
      <c r="U17" s="74">
        <f t="shared" ref="U17:Y18" si="4">O17</f>
        <v>0.40776422400000001</v>
      </c>
      <c r="V17" s="74">
        <f t="shared" si="4"/>
        <v>0.55999620096000013</v>
      </c>
      <c r="W17" s="74">
        <f t="shared" si="4"/>
        <v>0.57735608318976006</v>
      </c>
      <c r="X17" s="74">
        <f t="shared" si="4"/>
        <v>1.554439639843104</v>
      </c>
      <c r="Y17" s="74">
        <f t="shared" si="4"/>
        <v>1.5964095101188676</v>
      </c>
      <c r="Z17" s="74"/>
      <c r="AA17" s="74"/>
      <c r="AB17" s="74"/>
      <c r="AC17" s="74"/>
      <c r="AD17" s="74"/>
      <c r="AE17" s="80"/>
      <c r="AF17" s="80"/>
      <c r="AG17" s="87"/>
      <c r="AH17" s="1"/>
      <c r="AI17" s="1"/>
      <c r="AJ17" s="1"/>
      <c r="AK17" s="1"/>
      <c r="AL17" s="1"/>
      <c r="AM17" s="1"/>
    </row>
    <row r="18" spans="1:39" s="30" customFormat="1" ht="108">
      <c r="A18" s="84" t="s">
        <v>216</v>
      </c>
      <c r="B18" s="85" t="s">
        <v>26</v>
      </c>
      <c r="C18" s="86" t="s">
        <v>25</v>
      </c>
      <c r="D18" s="78">
        <f>N18</f>
        <v>73</v>
      </c>
      <c r="E18" s="86">
        <v>2020</v>
      </c>
      <c r="F18" s="86">
        <v>2024</v>
      </c>
      <c r="G18" s="74">
        <f>H18</f>
        <v>2.6636558490962368</v>
      </c>
      <c r="H18" s="74">
        <f t="shared" si="3"/>
        <v>2.6636558490962368</v>
      </c>
      <c r="I18" s="74">
        <v>13</v>
      </c>
      <c r="J18" s="74">
        <v>14</v>
      </c>
      <c r="K18" s="74">
        <v>14</v>
      </c>
      <c r="L18" s="74">
        <v>16</v>
      </c>
      <c r="M18" s="74">
        <v>16</v>
      </c>
      <c r="N18" s="74">
        <f>I18+J18+K18+L18+M18</f>
        <v>73</v>
      </c>
      <c r="O18" s="78">
        <f>(1.05*1.048*8*0.037543)+(1.05*1.048*7*0.022148)</f>
        <v>0.50110015200000002</v>
      </c>
      <c r="P18" s="78">
        <f>(1.05*1.048*1.031*7*0.037543)+(1.05*1.048*1.031*7*0.022148)</f>
        <v>0.47404125767879995</v>
      </c>
      <c r="Q18" s="78">
        <f>(1.05*1.048*1.031*1.03*7*0.037543)+(1.05*1.048*1.031*1.03*7*0.022148)</f>
        <v>0.488262495409164</v>
      </c>
      <c r="R18" s="78">
        <f>(1.05*1.048*1.031*1.03*1.028*9*0.037543)+(1.05*1.048*1.031*1.03*1.028*7*0.022148)</f>
        <v>0.59213218747324747</v>
      </c>
      <c r="S18" s="78">
        <f>(1.05*1.048*1.031*1.03*1.028*1.027*9*0.037543)+(1.05*1.048*1.031*1.03*1.028*1.027*7*0.022148)</f>
        <v>0.60811975653502515</v>
      </c>
      <c r="T18" s="74">
        <f>SUM(O18:S18)</f>
        <v>2.6636558490962368</v>
      </c>
      <c r="U18" s="74">
        <f t="shared" si="4"/>
        <v>0.50110015200000002</v>
      </c>
      <c r="V18" s="74">
        <f t="shared" si="4"/>
        <v>0.47404125767879995</v>
      </c>
      <c r="W18" s="74">
        <f t="shared" si="4"/>
        <v>0.488262495409164</v>
      </c>
      <c r="X18" s="74">
        <f t="shared" si="4"/>
        <v>0.59213218747324747</v>
      </c>
      <c r="Y18" s="74">
        <f t="shared" si="4"/>
        <v>0.60811975653502515</v>
      </c>
      <c r="Z18" s="78"/>
      <c r="AA18" s="78"/>
      <c r="AB18" s="78"/>
      <c r="AC18" s="78"/>
      <c r="AD18" s="78"/>
      <c r="AE18" s="80"/>
      <c r="AF18" s="80"/>
      <c r="AG18" s="87"/>
      <c r="AH18" s="1"/>
      <c r="AI18" s="1"/>
      <c r="AJ18" s="1"/>
      <c r="AK18" s="1"/>
      <c r="AL18" s="1"/>
      <c r="AM18" s="1"/>
    </row>
    <row r="19" spans="1:39" s="30" customFormat="1" ht="72">
      <c r="A19" s="84" t="s">
        <v>217</v>
      </c>
      <c r="B19" s="85" t="s">
        <v>27</v>
      </c>
      <c r="C19" s="86" t="s">
        <v>25</v>
      </c>
      <c r="D19" s="74"/>
      <c r="E19" s="86">
        <v>2020</v>
      </c>
      <c r="F19" s="86">
        <v>2024</v>
      </c>
      <c r="G19" s="74">
        <f>H19</f>
        <v>2.3353714412766529</v>
      </c>
      <c r="H19" s="74">
        <f t="shared" si="3"/>
        <v>2.3353714412766529</v>
      </c>
      <c r="I19" s="74"/>
      <c r="J19" s="74"/>
      <c r="K19" s="74"/>
      <c r="L19" s="74"/>
      <c r="M19" s="74"/>
      <c r="N19" s="74"/>
      <c r="O19" s="78">
        <f>(1.05*1.048*0.4)</f>
        <v>0.44016000000000005</v>
      </c>
      <c r="P19" s="78">
        <f>(1.05*1.048*1.031*0.4)</f>
        <v>0.45380496000000003</v>
      </c>
      <c r="Q19" s="78">
        <f>(1.05*1.048*1.031*1.03*0.4)</f>
        <v>0.46741910879999998</v>
      </c>
      <c r="R19" s="78">
        <f>(1.05*1.048*1.031*1.03*1.028*0.4)</f>
        <v>0.48050684384639997</v>
      </c>
      <c r="S19" s="78">
        <f>(1.05*1.048*1.031*1.03*1.028*1.027*0.4)</f>
        <v>0.49348052863025277</v>
      </c>
      <c r="T19" s="74">
        <f>SUM(O19:S19)</f>
        <v>2.3353714412766529</v>
      </c>
      <c r="U19" s="78">
        <f>O19</f>
        <v>0.44016000000000005</v>
      </c>
      <c r="V19" s="74">
        <f>P19</f>
        <v>0.45380496000000003</v>
      </c>
      <c r="W19" s="74">
        <f t="shared" ref="W19" si="5">Q19</f>
        <v>0.46741910879999998</v>
      </c>
      <c r="X19" s="74">
        <f t="shared" ref="X19" si="6">R19</f>
        <v>0.48050684384639997</v>
      </c>
      <c r="Y19" s="74">
        <f>S19</f>
        <v>0.49348052863025277</v>
      </c>
      <c r="Z19" s="78"/>
      <c r="AA19" s="78"/>
      <c r="AB19" s="78"/>
      <c r="AC19" s="78"/>
      <c r="AD19" s="78"/>
      <c r="AE19" s="80"/>
      <c r="AF19" s="80"/>
      <c r="AG19" s="87"/>
      <c r="AH19" s="1"/>
      <c r="AI19" s="1"/>
      <c r="AJ19" s="1"/>
      <c r="AK19" s="1"/>
      <c r="AL19" s="1"/>
      <c r="AM19" s="1"/>
    </row>
    <row r="20" spans="1:39" s="30" customFormat="1" ht="90">
      <c r="A20" s="84" t="s">
        <v>218</v>
      </c>
      <c r="B20" s="85" t="s">
        <v>129</v>
      </c>
      <c r="C20" s="86" t="s">
        <v>25</v>
      </c>
      <c r="D20" s="74">
        <f>N20</f>
        <v>34</v>
      </c>
      <c r="E20" s="86">
        <v>2020</v>
      </c>
      <c r="F20" s="86">
        <v>2024</v>
      </c>
      <c r="G20" s="74">
        <f>H20</f>
        <v>14.154705383823851</v>
      </c>
      <c r="H20" s="74">
        <f t="shared" ref="H20" si="7">T20</f>
        <v>14.154705383823851</v>
      </c>
      <c r="I20" s="74">
        <v>6</v>
      </c>
      <c r="J20" s="74">
        <v>6</v>
      </c>
      <c r="K20" s="74">
        <v>6</v>
      </c>
      <c r="L20" s="74">
        <v>8</v>
      </c>
      <c r="M20" s="74">
        <v>8</v>
      </c>
      <c r="N20" s="74">
        <f>I20+J20+K20+L20+M20</f>
        <v>34</v>
      </c>
      <c r="O20" s="78">
        <f>1.05*1.048*(3*0.3145+3*0.395)</f>
        <v>2.3422014</v>
      </c>
      <c r="P20" s="78">
        <f>1.05*1.048*1.031*(3*0.3145+3*0.395)</f>
        <v>2.4148096433999999</v>
      </c>
      <c r="Q20" s="78">
        <f>1.05*1.048*1.031*1.03*(3*0.3145+3*0.395)</f>
        <v>2.4872539327019996</v>
      </c>
      <c r="R20" s="78">
        <f>1.05*1.048*1.031*1.03*1.028*(4*0.3145+4*0.395)</f>
        <v>3.4091960570902078</v>
      </c>
      <c r="S20" s="78">
        <f>1.05*1.048*1.031*1.03*1.028*1.027*(4*0.3145+4*0.395)</f>
        <v>3.5012443506316431</v>
      </c>
      <c r="T20" s="74">
        <f>SUM(O20:S20)</f>
        <v>14.154705383823851</v>
      </c>
      <c r="U20" s="78">
        <f>O20</f>
        <v>2.3422014</v>
      </c>
      <c r="V20" s="78">
        <f>P20</f>
        <v>2.4148096433999999</v>
      </c>
      <c r="W20" s="78">
        <f>Q20</f>
        <v>2.4872539327019996</v>
      </c>
      <c r="X20" s="78">
        <f>R20</f>
        <v>3.4091960570902078</v>
      </c>
      <c r="Y20" s="78">
        <f>S20</f>
        <v>3.5012443506316431</v>
      </c>
      <c r="Z20" s="78"/>
      <c r="AA20" s="78"/>
      <c r="AB20" s="78"/>
      <c r="AC20" s="78"/>
      <c r="AD20" s="78"/>
      <c r="AE20" s="80"/>
      <c r="AF20" s="80"/>
      <c r="AG20" s="87"/>
      <c r="AH20" s="1"/>
      <c r="AI20" s="1"/>
      <c r="AJ20" s="1"/>
      <c r="AK20" s="1"/>
      <c r="AL20" s="1"/>
      <c r="AM20" s="1"/>
    </row>
    <row r="21" spans="1:39" s="30" customFormat="1" ht="36">
      <c r="A21" s="84" t="s">
        <v>219</v>
      </c>
      <c r="B21" s="85" t="s">
        <v>132</v>
      </c>
      <c r="C21" s="86" t="s">
        <v>25</v>
      </c>
      <c r="D21" s="88"/>
      <c r="E21" s="86">
        <v>2020</v>
      </c>
      <c r="F21" s="86">
        <v>2020</v>
      </c>
      <c r="G21" s="74">
        <f>H21</f>
        <v>0.81979800000000003</v>
      </c>
      <c r="H21" s="74">
        <f t="shared" ref="H21" si="8">T21</f>
        <v>0.81979800000000003</v>
      </c>
      <c r="I21" s="98"/>
      <c r="J21" s="74"/>
      <c r="K21" s="74"/>
      <c r="L21" s="74"/>
      <c r="M21" s="74"/>
      <c r="N21" s="98"/>
      <c r="O21" s="74">
        <f xml:space="preserve"> 0.745*1.05*1.048</f>
        <v>0.81979800000000003</v>
      </c>
      <c r="P21" s="74"/>
      <c r="Q21" s="74"/>
      <c r="R21" s="74"/>
      <c r="S21" s="74"/>
      <c r="T21" s="74">
        <f t="shared" ref="T21" si="9">SUM(O21:S21)</f>
        <v>0.81979800000000003</v>
      </c>
      <c r="U21" s="78">
        <f>O21</f>
        <v>0.81979800000000003</v>
      </c>
      <c r="V21" s="74"/>
      <c r="W21" s="74"/>
      <c r="X21" s="74"/>
      <c r="Y21" s="74"/>
      <c r="Z21" s="78"/>
      <c r="AA21" s="78"/>
      <c r="AB21" s="78"/>
      <c r="AC21" s="78"/>
      <c r="AD21" s="78"/>
      <c r="AE21" s="80"/>
      <c r="AF21" s="80"/>
      <c r="AG21" s="89"/>
      <c r="AH21" s="1"/>
      <c r="AI21" s="1"/>
      <c r="AJ21" s="1"/>
      <c r="AK21" s="1"/>
      <c r="AL21" s="1"/>
      <c r="AM21" s="1"/>
    </row>
    <row r="22" spans="1:39" s="30" customFormat="1" ht="36">
      <c r="A22" s="84" t="s">
        <v>220</v>
      </c>
      <c r="B22" s="85" t="s">
        <v>133</v>
      </c>
      <c r="C22" s="86" t="s">
        <v>25</v>
      </c>
      <c r="D22" s="74">
        <f t="shared" ref="D22:D26" si="10">N22</f>
        <v>0.63</v>
      </c>
      <c r="E22" s="86">
        <v>2021</v>
      </c>
      <c r="F22" s="86">
        <v>2021</v>
      </c>
      <c r="G22" s="74">
        <f t="shared" ref="G22:G25" si="11">H22</f>
        <v>1.3353210948000001</v>
      </c>
      <c r="H22" s="74">
        <f t="shared" ref="H22:H24" si="12">T22</f>
        <v>1.3353210948000001</v>
      </c>
      <c r="I22" s="74"/>
      <c r="J22" s="74">
        <v>0.63</v>
      </c>
      <c r="K22" s="74"/>
      <c r="L22" s="74"/>
      <c r="M22" s="74"/>
      <c r="N22" s="74">
        <f t="shared" ref="N22:N26" si="13">SUM(I22:M22)</f>
        <v>0.63</v>
      </c>
      <c r="O22" s="78"/>
      <c r="P22" s="78">
        <f>1.05*1.048*1.031*1.177</f>
        <v>1.3353210948000001</v>
      </c>
      <c r="Q22" s="74"/>
      <c r="R22" s="74"/>
      <c r="S22" s="74"/>
      <c r="T22" s="74">
        <f t="shared" ref="T22:T24" si="14">SUM(O22:S22)</f>
        <v>1.3353210948000001</v>
      </c>
      <c r="U22" s="78"/>
      <c r="V22" s="78">
        <f>P22</f>
        <v>1.3353210948000001</v>
      </c>
      <c r="W22" s="74"/>
      <c r="X22" s="74"/>
      <c r="Y22" s="74"/>
      <c r="Z22" s="78"/>
      <c r="AA22" s="78"/>
      <c r="AB22" s="78"/>
      <c r="AC22" s="78"/>
      <c r="AD22" s="78"/>
      <c r="AE22" s="80"/>
      <c r="AF22" s="80"/>
      <c r="AG22" s="89"/>
      <c r="AH22" s="1"/>
      <c r="AI22" s="1"/>
      <c r="AJ22" s="1"/>
      <c r="AK22" s="1"/>
      <c r="AL22" s="1"/>
      <c r="AM22" s="1"/>
    </row>
    <row r="23" spans="1:39" s="30" customFormat="1" ht="36">
      <c r="A23" s="84" t="s">
        <v>221</v>
      </c>
      <c r="B23" s="85" t="s">
        <v>134</v>
      </c>
      <c r="C23" s="86" t="s">
        <v>25</v>
      </c>
      <c r="D23" s="74">
        <f t="shared" si="10"/>
        <v>0.4</v>
      </c>
      <c r="E23" s="86">
        <v>2021</v>
      </c>
      <c r="F23" s="86">
        <v>2021</v>
      </c>
      <c r="G23" s="74">
        <f t="shared" si="11"/>
        <v>0.84974978759999997</v>
      </c>
      <c r="H23" s="74">
        <f t="shared" si="12"/>
        <v>0.84974978759999997</v>
      </c>
      <c r="I23" s="74"/>
      <c r="J23" s="74">
        <v>0.4</v>
      </c>
      <c r="K23" s="74"/>
      <c r="L23" s="74"/>
      <c r="M23" s="74"/>
      <c r="N23" s="74">
        <f t="shared" si="13"/>
        <v>0.4</v>
      </c>
      <c r="O23" s="78"/>
      <c r="P23" s="78">
        <f>1.05*1.048*1.031*0.749</f>
        <v>0.84974978759999997</v>
      </c>
      <c r="Q23" s="74"/>
      <c r="R23" s="74"/>
      <c r="S23" s="74"/>
      <c r="T23" s="74">
        <f t="shared" si="14"/>
        <v>0.84974978759999997</v>
      </c>
      <c r="U23" s="78"/>
      <c r="V23" s="74">
        <f t="shared" ref="V23:W24" si="15">P23</f>
        <v>0.84974978759999997</v>
      </c>
      <c r="W23" s="74"/>
      <c r="X23" s="74"/>
      <c r="Y23" s="74"/>
      <c r="Z23" s="78"/>
      <c r="AA23" s="78"/>
      <c r="AB23" s="78"/>
      <c r="AC23" s="78"/>
      <c r="AD23" s="78"/>
      <c r="AE23" s="80"/>
      <c r="AF23" s="80"/>
      <c r="AG23" s="89"/>
      <c r="AH23" s="1"/>
      <c r="AI23" s="1"/>
      <c r="AJ23" s="1"/>
      <c r="AK23" s="1"/>
      <c r="AL23" s="1"/>
      <c r="AM23" s="1"/>
    </row>
    <row r="24" spans="1:39" s="30" customFormat="1" ht="36">
      <c r="A24" s="84" t="s">
        <v>222</v>
      </c>
      <c r="B24" s="85" t="s">
        <v>135</v>
      </c>
      <c r="C24" s="86" t="s">
        <v>25</v>
      </c>
      <c r="D24" s="74">
        <f t="shared" si="10"/>
        <v>0.63</v>
      </c>
      <c r="E24" s="86">
        <v>2022</v>
      </c>
      <c r="F24" s="86">
        <v>2022</v>
      </c>
      <c r="G24" s="74">
        <f t="shared" si="11"/>
        <v>1.1486824598759999</v>
      </c>
      <c r="H24" s="74">
        <f t="shared" si="12"/>
        <v>1.1486824598759999</v>
      </c>
      <c r="I24" s="74"/>
      <c r="J24" s="74"/>
      <c r="K24" s="74">
        <v>0.63</v>
      </c>
      <c r="L24" s="74"/>
      <c r="M24" s="74"/>
      <c r="N24" s="74">
        <f t="shared" si="13"/>
        <v>0.63</v>
      </c>
      <c r="O24" s="78"/>
      <c r="P24" s="98"/>
      <c r="Q24" s="74">
        <f>1.05*1.048*1.031*1.03*0.983</f>
        <v>1.1486824598759999</v>
      </c>
      <c r="R24" s="74"/>
      <c r="S24" s="74"/>
      <c r="T24" s="74">
        <f t="shared" si="14"/>
        <v>1.1486824598759999</v>
      </c>
      <c r="U24" s="78"/>
      <c r="V24" s="74"/>
      <c r="W24" s="74">
        <f t="shared" si="15"/>
        <v>1.1486824598759999</v>
      </c>
      <c r="X24" s="74"/>
      <c r="Y24" s="74"/>
      <c r="Z24" s="78"/>
      <c r="AA24" s="78"/>
      <c r="AB24" s="78"/>
      <c r="AC24" s="78"/>
      <c r="AD24" s="78"/>
      <c r="AE24" s="80"/>
      <c r="AF24" s="80"/>
      <c r="AG24" s="89"/>
      <c r="AH24" s="1"/>
      <c r="AI24" s="1"/>
      <c r="AJ24" s="1"/>
      <c r="AK24" s="1"/>
      <c r="AL24" s="1"/>
      <c r="AM24" s="1"/>
    </row>
    <row r="25" spans="1:39" s="30" customFormat="1" ht="36">
      <c r="A25" s="84" t="s">
        <v>223</v>
      </c>
      <c r="B25" s="85" t="s">
        <v>136</v>
      </c>
      <c r="C25" s="86" t="s">
        <v>25</v>
      </c>
      <c r="D25" s="74">
        <f t="shared" si="10"/>
        <v>0.63</v>
      </c>
      <c r="E25" s="86">
        <v>2022</v>
      </c>
      <c r="F25" s="86">
        <v>2022</v>
      </c>
      <c r="G25" s="74">
        <f t="shared" si="11"/>
        <v>1.1486824598759999</v>
      </c>
      <c r="H25" s="74">
        <f t="shared" ref="H25" si="16">T25</f>
        <v>1.1486824598759999</v>
      </c>
      <c r="I25" s="74"/>
      <c r="J25" s="74"/>
      <c r="K25" s="74">
        <v>0.63</v>
      </c>
      <c r="L25" s="74"/>
      <c r="M25" s="74"/>
      <c r="N25" s="74">
        <f t="shared" si="13"/>
        <v>0.63</v>
      </c>
      <c r="O25" s="78"/>
      <c r="P25" s="74"/>
      <c r="Q25" s="74">
        <f>1.05*1.048*1.031*1.03*0.983</f>
        <v>1.1486824598759999</v>
      </c>
      <c r="R25" s="74"/>
      <c r="S25" s="74"/>
      <c r="T25" s="74">
        <f t="shared" ref="T25" si="17">SUM(O25:S25)</f>
        <v>1.1486824598759999</v>
      </c>
      <c r="U25" s="78"/>
      <c r="V25" s="74"/>
      <c r="W25" s="74">
        <f t="shared" ref="W25" si="18">Q25</f>
        <v>1.1486824598759999</v>
      </c>
      <c r="X25" s="74"/>
      <c r="Y25" s="74"/>
      <c r="Z25" s="78"/>
      <c r="AA25" s="78"/>
      <c r="AB25" s="78"/>
      <c r="AC25" s="78"/>
      <c r="AD25" s="78"/>
      <c r="AE25" s="80"/>
      <c r="AF25" s="80"/>
      <c r="AG25" s="89"/>
      <c r="AH25" s="1"/>
      <c r="AI25" s="1"/>
      <c r="AJ25" s="1"/>
      <c r="AK25" s="1"/>
      <c r="AL25" s="1"/>
      <c r="AM25" s="1"/>
    </row>
    <row r="26" spans="1:39" s="30" customFormat="1" ht="36">
      <c r="A26" s="84" t="s">
        <v>224</v>
      </c>
      <c r="B26" s="85" t="s">
        <v>137</v>
      </c>
      <c r="C26" s="86" t="s">
        <v>25</v>
      </c>
      <c r="D26" s="74">
        <f t="shared" si="10"/>
        <v>1.26</v>
      </c>
      <c r="E26" s="86">
        <v>2024</v>
      </c>
      <c r="F26" s="86">
        <v>2024</v>
      </c>
      <c r="G26" s="74">
        <f>H26</f>
        <v>2.425456798217692</v>
      </c>
      <c r="H26" s="74">
        <f t="shared" si="3"/>
        <v>2.425456798217692</v>
      </c>
      <c r="I26" s="74"/>
      <c r="J26" s="74"/>
      <c r="K26" s="74"/>
      <c r="L26" s="74"/>
      <c r="M26" s="74">
        <v>1.26</v>
      </c>
      <c r="N26" s="74">
        <f t="shared" si="13"/>
        <v>1.26</v>
      </c>
      <c r="O26" s="78"/>
      <c r="P26" s="74"/>
      <c r="Q26" s="74"/>
      <c r="R26" s="74"/>
      <c r="S26" s="74">
        <f>1.05*1.048*1.031*1.03*1.028*1.027*1.966</f>
        <v>2.425456798217692</v>
      </c>
      <c r="T26" s="74">
        <f t="shared" ref="T26" si="19">SUM(O26:S26)</f>
        <v>2.425456798217692</v>
      </c>
      <c r="U26" s="78"/>
      <c r="V26" s="74"/>
      <c r="W26" s="74"/>
      <c r="X26" s="74"/>
      <c r="Y26" s="74">
        <f>S26</f>
        <v>2.425456798217692</v>
      </c>
      <c r="Z26" s="78"/>
      <c r="AA26" s="78"/>
      <c r="AB26" s="78"/>
      <c r="AC26" s="78"/>
      <c r="AD26" s="78"/>
      <c r="AE26" s="80"/>
      <c r="AF26" s="80"/>
      <c r="AG26" s="89"/>
      <c r="AH26" s="1"/>
      <c r="AI26" s="1"/>
      <c r="AJ26" s="1"/>
      <c r="AK26" s="1"/>
      <c r="AL26" s="1"/>
      <c r="AM26" s="1"/>
    </row>
    <row r="27" spans="1:39" s="142" customFormat="1" ht="17.399999999999999">
      <c r="A27" s="135"/>
      <c r="B27" s="137" t="s">
        <v>28</v>
      </c>
      <c r="C27" s="137"/>
      <c r="D27" s="138"/>
      <c r="E27" s="137"/>
      <c r="F27" s="137"/>
      <c r="G27" s="138">
        <f>SUM(G28:G40)</f>
        <v>174.46528516251121</v>
      </c>
      <c r="H27" s="139">
        <f>SUM(H28:H40)</f>
        <v>174.46528516251121</v>
      </c>
      <c r="I27" s="139"/>
      <c r="J27" s="139"/>
      <c r="K27" s="139"/>
      <c r="L27" s="139"/>
      <c r="M27" s="139"/>
      <c r="N27" s="139"/>
      <c r="O27" s="138">
        <f t="shared" ref="O27:Z27" si="20">SUM(O28:O40)</f>
        <v>16.013484068400004</v>
      </c>
      <c r="P27" s="138">
        <f t="shared" si="20"/>
        <v>32.460470249129997</v>
      </c>
      <c r="Q27" s="138">
        <f t="shared" si="20"/>
        <v>45.478711907015764</v>
      </c>
      <c r="R27" s="138">
        <f t="shared" si="20"/>
        <v>44.70732617402652</v>
      </c>
      <c r="S27" s="138">
        <f t="shared" si="20"/>
        <v>35.805292763938908</v>
      </c>
      <c r="T27" s="138">
        <f t="shared" si="20"/>
        <v>174.46528516251121</v>
      </c>
      <c r="U27" s="138">
        <f t="shared" si="20"/>
        <v>16.013484068400004</v>
      </c>
      <c r="V27" s="138">
        <f t="shared" si="20"/>
        <v>32.460470249129997</v>
      </c>
      <c r="W27" s="138">
        <f t="shared" si="20"/>
        <v>45.478711907015764</v>
      </c>
      <c r="X27" s="138">
        <f t="shared" si="20"/>
        <v>44.70732617402652</v>
      </c>
      <c r="Y27" s="138">
        <f t="shared" si="20"/>
        <v>35.805292763938908</v>
      </c>
      <c r="Z27" s="138">
        <f t="shared" si="20"/>
        <v>0</v>
      </c>
      <c r="AA27" s="138"/>
      <c r="AB27" s="138"/>
      <c r="AC27" s="138"/>
      <c r="AD27" s="138"/>
      <c r="AE27" s="140"/>
      <c r="AF27" s="140"/>
      <c r="AG27" s="141"/>
      <c r="AH27" s="134"/>
      <c r="AI27" s="134"/>
      <c r="AJ27" s="134"/>
      <c r="AK27" s="134"/>
      <c r="AL27" s="134"/>
      <c r="AM27" s="134"/>
    </row>
    <row r="28" spans="1:39" s="28" customFormat="1" ht="36">
      <c r="A28" s="84" t="s">
        <v>225</v>
      </c>
      <c r="B28" s="85" t="s">
        <v>73</v>
      </c>
      <c r="C28" s="86" t="s">
        <v>25</v>
      </c>
      <c r="D28" s="74">
        <f>J28</f>
        <v>15</v>
      </c>
      <c r="E28" s="86">
        <v>2021</v>
      </c>
      <c r="F28" s="86">
        <v>2021</v>
      </c>
      <c r="G28" s="77">
        <f>H28</f>
        <v>15.905863847999999</v>
      </c>
      <c r="H28" s="74">
        <f>T28</f>
        <v>15.905863847999999</v>
      </c>
      <c r="I28" s="74"/>
      <c r="J28" s="74">
        <v>15</v>
      </c>
      <c r="K28" s="74"/>
      <c r="L28" s="74"/>
      <c r="M28" s="74"/>
      <c r="N28" s="74"/>
      <c r="O28" s="74"/>
      <c r="P28" s="74">
        <f xml:space="preserve"> 14.02*1.05*1.048*1.031</f>
        <v>15.905863847999999</v>
      </c>
      <c r="Q28" s="76"/>
      <c r="R28" s="76"/>
      <c r="S28" s="76"/>
      <c r="T28" s="74">
        <f>SUM(O28:S28)</f>
        <v>15.905863847999999</v>
      </c>
      <c r="U28" s="77">
        <f>O28</f>
        <v>0</v>
      </c>
      <c r="V28" s="77">
        <f>P28</f>
        <v>15.905863847999999</v>
      </c>
      <c r="W28" s="77"/>
      <c r="X28" s="77"/>
      <c r="Y28" s="77"/>
      <c r="Z28" s="76"/>
      <c r="AA28" s="76"/>
      <c r="AB28" s="76"/>
      <c r="AC28" s="76"/>
      <c r="AD28" s="76"/>
      <c r="AE28" s="80"/>
      <c r="AF28" s="80"/>
      <c r="AG28" s="89"/>
      <c r="AH28" s="1"/>
      <c r="AI28" s="1"/>
    </row>
    <row r="29" spans="1:39" s="30" customFormat="1" ht="36">
      <c r="A29" s="84" t="s">
        <v>226</v>
      </c>
      <c r="B29" s="85" t="s">
        <v>74</v>
      </c>
      <c r="C29" s="86" t="s">
        <v>25</v>
      </c>
      <c r="D29" s="77" t="str">
        <f>I29</f>
        <v>12</v>
      </c>
      <c r="E29" s="86">
        <v>2020</v>
      </c>
      <c r="F29" s="86">
        <v>2020</v>
      </c>
      <c r="G29" s="77">
        <f t="shared" ref="G29:G39" si="21">T29</f>
        <v>16.013484068400004</v>
      </c>
      <c r="H29" s="74">
        <f t="shared" ref="H29:H35" si="22">T29</f>
        <v>16.013484068400004</v>
      </c>
      <c r="I29" s="74" t="s">
        <v>267</v>
      </c>
      <c r="J29" s="74"/>
      <c r="K29" s="74"/>
      <c r="L29" s="74"/>
      <c r="M29" s="74"/>
      <c r="N29" s="74"/>
      <c r="O29" s="74">
        <f xml:space="preserve"> 14.552421*1.05*1.048</f>
        <v>16.013484068400004</v>
      </c>
      <c r="P29" s="74">
        <v>0</v>
      </c>
      <c r="Q29" s="74"/>
      <c r="R29" s="74"/>
      <c r="S29" s="74"/>
      <c r="T29" s="74">
        <f>SUM(O29:S29)</f>
        <v>16.013484068400004</v>
      </c>
      <c r="U29" s="98">
        <f>O29</f>
        <v>16.013484068400004</v>
      </c>
      <c r="V29" s="77">
        <f>P29</f>
        <v>0</v>
      </c>
      <c r="W29" s="77"/>
      <c r="X29" s="77"/>
      <c r="Y29" s="77"/>
      <c r="Z29" s="77"/>
      <c r="AA29" s="77"/>
      <c r="AB29" s="77"/>
      <c r="AC29" s="77"/>
      <c r="AD29" s="77"/>
      <c r="AE29" s="80"/>
      <c r="AF29" s="80"/>
      <c r="AG29" s="116"/>
      <c r="AH29" s="1"/>
      <c r="AI29" s="1"/>
      <c r="AJ29" s="1"/>
      <c r="AK29" s="1"/>
      <c r="AL29" s="1"/>
      <c r="AM29" s="1"/>
    </row>
    <row r="30" spans="1:39" s="30" customFormat="1" ht="54">
      <c r="A30" s="84" t="s">
        <v>227</v>
      </c>
      <c r="B30" s="85" t="s">
        <v>69</v>
      </c>
      <c r="C30" s="86" t="s">
        <v>25</v>
      </c>
      <c r="D30" s="77">
        <f>J30</f>
        <v>10</v>
      </c>
      <c r="E30" s="86">
        <v>2021</v>
      </c>
      <c r="F30" s="86">
        <v>2021</v>
      </c>
      <c r="G30" s="77">
        <f>T30</f>
        <v>8.5331102202360007</v>
      </c>
      <c r="H30" s="74">
        <f t="shared" ref="H30" si="23">T30</f>
        <v>8.5331102202360007</v>
      </c>
      <c r="I30" s="74"/>
      <c r="J30" s="74">
        <v>10</v>
      </c>
      <c r="K30" s="74"/>
      <c r="L30" s="74"/>
      <c r="M30" s="74"/>
      <c r="N30" s="74"/>
      <c r="O30" s="74"/>
      <c r="P30" s="74">
        <f>7.52139*1.05*1.048*1.031</f>
        <v>8.5331102202360007</v>
      </c>
      <c r="Q30" s="74"/>
      <c r="R30" s="74"/>
      <c r="S30" s="74"/>
      <c r="T30" s="74">
        <f>SUM(O30:S30)</f>
        <v>8.5331102202360007</v>
      </c>
      <c r="U30" s="77"/>
      <c r="V30" s="74">
        <f t="shared" ref="V30:V31" si="24">P30</f>
        <v>8.5331102202360007</v>
      </c>
      <c r="W30" s="77"/>
      <c r="X30" s="77"/>
      <c r="Y30" s="77"/>
      <c r="Z30" s="77"/>
      <c r="AA30" s="77"/>
      <c r="AB30" s="77"/>
      <c r="AC30" s="77"/>
      <c r="AD30" s="77"/>
      <c r="AE30" s="80"/>
      <c r="AF30" s="80"/>
      <c r="AG30" s="89"/>
      <c r="AH30" s="1"/>
      <c r="AI30" s="1"/>
      <c r="AJ30" s="1"/>
      <c r="AK30" s="1"/>
      <c r="AL30" s="1"/>
      <c r="AM30" s="1"/>
    </row>
    <row r="31" spans="1:39" s="30" customFormat="1" ht="54">
      <c r="A31" s="84" t="s">
        <v>228</v>
      </c>
      <c r="B31" s="85" t="s">
        <v>68</v>
      </c>
      <c r="C31" s="86" t="s">
        <v>25</v>
      </c>
      <c r="D31" s="77">
        <f>J31</f>
        <v>9</v>
      </c>
      <c r="E31" s="86">
        <v>2021</v>
      </c>
      <c r="F31" s="86">
        <v>2021</v>
      </c>
      <c r="G31" s="77">
        <f t="shared" si="21"/>
        <v>8.0214961808940011</v>
      </c>
      <c r="H31" s="74">
        <f t="shared" ref="H31" si="25">T31</f>
        <v>8.0214961808940011</v>
      </c>
      <c r="I31" s="74"/>
      <c r="J31" s="74">
        <v>9</v>
      </c>
      <c r="K31" s="74"/>
      <c r="L31" s="74"/>
      <c r="M31" s="74"/>
      <c r="N31" s="74"/>
      <c r="O31" s="74"/>
      <c r="P31" s="74">
        <f>7.070435*1.05*1.048*1.031</f>
        <v>8.0214961808940011</v>
      </c>
      <c r="Q31" s="74"/>
      <c r="R31" s="74"/>
      <c r="S31" s="74"/>
      <c r="T31" s="74">
        <f t="shared" ref="T31:T32" si="26">SUM(O31:S31)</f>
        <v>8.0214961808940011</v>
      </c>
      <c r="U31" s="77"/>
      <c r="V31" s="74">
        <f t="shared" si="24"/>
        <v>8.0214961808940011</v>
      </c>
      <c r="W31" s="77"/>
      <c r="X31" s="77"/>
      <c r="Y31" s="77"/>
      <c r="Z31" s="77"/>
      <c r="AA31" s="77"/>
      <c r="AB31" s="77"/>
      <c r="AC31" s="77"/>
      <c r="AD31" s="77"/>
      <c r="AE31" s="80"/>
      <c r="AF31" s="80"/>
      <c r="AG31" s="89"/>
      <c r="AH31" s="1"/>
      <c r="AI31" s="1"/>
      <c r="AJ31" s="1"/>
      <c r="AK31" s="1"/>
      <c r="AL31" s="1"/>
      <c r="AM31" s="1"/>
    </row>
    <row r="32" spans="1:39" s="30" customFormat="1" ht="36">
      <c r="A32" s="84" t="s">
        <v>229</v>
      </c>
      <c r="B32" s="85" t="s">
        <v>165</v>
      </c>
      <c r="C32" s="86" t="s">
        <v>25</v>
      </c>
      <c r="D32" s="77">
        <f>K32</f>
        <v>12</v>
      </c>
      <c r="E32" s="86">
        <v>2022</v>
      </c>
      <c r="F32" s="86">
        <v>2022</v>
      </c>
      <c r="G32" s="77">
        <f t="shared" ref="G32" si="27">T32</f>
        <v>14.193181238712</v>
      </c>
      <c r="H32" s="74">
        <f t="shared" ref="H32" si="28">T32</f>
        <v>14.193181238712</v>
      </c>
      <c r="I32" s="74"/>
      <c r="J32" s="74"/>
      <c r="K32" s="74">
        <v>12</v>
      </c>
      <c r="L32" s="74"/>
      <c r="M32" s="74"/>
      <c r="N32" s="74"/>
      <c r="O32" s="74"/>
      <c r="P32" s="74"/>
      <c r="Q32" s="74">
        <f>1.05*1.048*1.031*1.03*12.146</f>
        <v>14.193181238712</v>
      </c>
      <c r="R32" s="74"/>
      <c r="S32" s="74"/>
      <c r="T32" s="74">
        <f t="shared" si="26"/>
        <v>14.193181238712</v>
      </c>
      <c r="U32" s="77"/>
      <c r="V32" s="98"/>
      <c r="W32" s="74">
        <f>Q32</f>
        <v>14.193181238712</v>
      </c>
      <c r="X32" s="77"/>
      <c r="Y32" s="77"/>
      <c r="Z32" s="77"/>
      <c r="AA32" s="77"/>
      <c r="AB32" s="77"/>
      <c r="AC32" s="77"/>
      <c r="AD32" s="77"/>
      <c r="AE32" s="80"/>
      <c r="AF32" s="80"/>
      <c r="AG32" s="89"/>
      <c r="AH32" s="1"/>
      <c r="AI32" s="1"/>
      <c r="AJ32" s="1"/>
      <c r="AK32" s="1"/>
      <c r="AL32" s="1"/>
      <c r="AM32" s="1"/>
    </row>
    <row r="33" spans="1:39" s="30" customFormat="1" ht="54">
      <c r="A33" s="84" t="s">
        <v>230</v>
      </c>
      <c r="B33" s="85" t="s">
        <v>162</v>
      </c>
      <c r="C33" s="86" t="s">
        <v>25</v>
      </c>
      <c r="D33" s="77">
        <f>K33</f>
        <v>8</v>
      </c>
      <c r="E33" s="86">
        <v>2022</v>
      </c>
      <c r="F33" s="86">
        <v>2022</v>
      </c>
      <c r="G33" s="77">
        <f t="shared" si="21"/>
        <v>11.760264777407999</v>
      </c>
      <c r="H33" s="74">
        <f t="shared" si="22"/>
        <v>11.760264777407999</v>
      </c>
      <c r="I33" s="74"/>
      <c r="J33" s="74"/>
      <c r="K33" s="74">
        <v>8</v>
      </c>
      <c r="L33" s="74"/>
      <c r="M33" s="74"/>
      <c r="N33" s="74"/>
      <c r="O33" s="74"/>
      <c r="P33" s="80"/>
      <c r="Q33" s="74">
        <f>1.05*1.048*1.031*1.03*10.064</f>
        <v>11.760264777407999</v>
      </c>
      <c r="R33" s="74"/>
      <c r="S33" s="74"/>
      <c r="T33" s="74">
        <f t="shared" ref="T33:T35" si="29">SUM(O33:S33)</f>
        <v>11.760264777407999</v>
      </c>
      <c r="U33" s="77"/>
      <c r="V33" s="80"/>
      <c r="W33" s="74">
        <f>Q33</f>
        <v>11.760264777407999</v>
      </c>
      <c r="X33" s="77"/>
      <c r="Y33" s="77"/>
      <c r="Z33" s="77"/>
      <c r="AA33" s="77"/>
      <c r="AB33" s="77"/>
      <c r="AC33" s="77"/>
      <c r="AD33" s="77"/>
      <c r="AE33" s="80"/>
      <c r="AF33" s="80"/>
      <c r="AG33" s="89"/>
      <c r="AH33" s="1"/>
      <c r="AI33" s="1"/>
      <c r="AJ33" s="1"/>
      <c r="AK33" s="1"/>
      <c r="AL33" s="1"/>
      <c r="AM33" s="1"/>
    </row>
    <row r="34" spans="1:39" s="30" customFormat="1" ht="54">
      <c r="A34" s="84" t="s">
        <v>231</v>
      </c>
      <c r="B34" s="85" t="s">
        <v>72</v>
      </c>
      <c r="C34" s="86" t="s">
        <v>25</v>
      </c>
      <c r="D34" s="74">
        <f>K34</f>
        <v>13</v>
      </c>
      <c r="E34" s="86">
        <v>2022</v>
      </c>
      <c r="F34" s="86">
        <v>2022</v>
      </c>
      <c r="G34" s="77">
        <f t="shared" si="21"/>
        <v>10.646395692755423</v>
      </c>
      <c r="H34" s="74">
        <f t="shared" si="22"/>
        <v>10.646395692755423</v>
      </c>
      <c r="I34" s="74"/>
      <c r="J34" s="74"/>
      <c r="K34" s="74">
        <v>13</v>
      </c>
      <c r="L34" s="74"/>
      <c r="M34" s="74"/>
      <c r="N34" s="74"/>
      <c r="O34" s="74"/>
      <c r="P34" s="80"/>
      <c r="Q34" s="74">
        <f>1.05*1.048*1.031*1.03*9.110792</f>
        <v>10.646395692755423</v>
      </c>
      <c r="R34" s="74"/>
      <c r="S34" s="74"/>
      <c r="T34" s="74">
        <f t="shared" si="29"/>
        <v>10.646395692755423</v>
      </c>
      <c r="U34" s="77"/>
      <c r="V34" s="80"/>
      <c r="W34" s="74">
        <f>Q34</f>
        <v>10.646395692755423</v>
      </c>
      <c r="X34" s="77"/>
      <c r="Y34" s="77"/>
      <c r="Z34" s="77"/>
      <c r="AA34" s="77"/>
      <c r="AB34" s="77"/>
      <c r="AC34" s="77"/>
      <c r="AD34" s="77"/>
      <c r="AE34" s="80"/>
      <c r="AF34" s="80"/>
      <c r="AG34" s="89"/>
      <c r="AH34" s="1"/>
      <c r="AI34" s="1"/>
      <c r="AJ34" s="1"/>
      <c r="AK34" s="1"/>
      <c r="AL34" s="1"/>
      <c r="AM34" s="1"/>
    </row>
    <row r="35" spans="1:39" s="30" customFormat="1" ht="54">
      <c r="A35" s="84" t="s">
        <v>232</v>
      </c>
      <c r="B35" s="85" t="s">
        <v>70</v>
      </c>
      <c r="C35" s="86" t="s">
        <v>25</v>
      </c>
      <c r="D35" s="74">
        <f>K35</f>
        <v>10</v>
      </c>
      <c r="E35" s="86">
        <v>2022</v>
      </c>
      <c r="F35" s="86">
        <v>2022</v>
      </c>
      <c r="G35" s="77">
        <f t="shared" si="21"/>
        <v>8.8788701981403477</v>
      </c>
      <c r="H35" s="74">
        <f t="shared" si="22"/>
        <v>8.8788701981403477</v>
      </c>
      <c r="I35" s="74"/>
      <c r="J35" s="74"/>
      <c r="K35" s="74">
        <v>10</v>
      </c>
      <c r="L35" s="74"/>
      <c r="M35" s="74"/>
      <c r="N35" s="74"/>
      <c r="O35" s="74"/>
      <c r="P35" s="98"/>
      <c r="Q35" s="74">
        <f>1.05*1.048*1.031*1.03*7.598209</f>
        <v>8.8788701981403477</v>
      </c>
      <c r="R35" s="74"/>
      <c r="S35" s="74"/>
      <c r="T35" s="74">
        <f t="shared" si="29"/>
        <v>8.8788701981403477</v>
      </c>
      <c r="U35" s="77"/>
      <c r="V35" s="98"/>
      <c r="W35" s="74">
        <f>Q35</f>
        <v>8.8788701981403477</v>
      </c>
      <c r="X35" s="77"/>
      <c r="Y35" s="77"/>
      <c r="Z35" s="77"/>
      <c r="AA35" s="77"/>
      <c r="AB35" s="77"/>
      <c r="AC35" s="77"/>
      <c r="AD35" s="77"/>
      <c r="AE35" s="80"/>
      <c r="AF35" s="80"/>
      <c r="AG35" s="89"/>
      <c r="AH35" s="1"/>
      <c r="AI35" s="1"/>
      <c r="AJ35" s="1"/>
      <c r="AK35" s="1"/>
      <c r="AL35" s="1"/>
      <c r="AM35" s="1"/>
    </row>
    <row r="36" spans="1:39" s="30" customFormat="1" ht="36">
      <c r="A36" s="84" t="s">
        <v>233</v>
      </c>
      <c r="B36" s="85" t="s">
        <v>71</v>
      </c>
      <c r="C36" s="86" t="s">
        <v>25</v>
      </c>
      <c r="D36" s="74">
        <f>L36</f>
        <v>13</v>
      </c>
      <c r="E36" s="86">
        <v>2023</v>
      </c>
      <c r="F36" s="86">
        <v>2023</v>
      </c>
      <c r="G36" s="77">
        <f t="shared" si="21"/>
        <v>19.370649571904842</v>
      </c>
      <c r="H36" s="74">
        <f t="shared" ref="H36" si="30">T36</f>
        <v>19.370649571904842</v>
      </c>
      <c r="I36" s="74"/>
      <c r="J36" s="74"/>
      <c r="K36" s="74"/>
      <c r="L36" s="74">
        <v>13</v>
      </c>
      <c r="M36" s="74"/>
      <c r="N36" s="74"/>
      <c r="O36" s="74"/>
      <c r="P36" s="74"/>
      <c r="Q36" s="98"/>
      <c r="R36" s="74">
        <f>1.05*1.048*1.031*1.03*1.028*16.125181</f>
        <v>19.370649571904842</v>
      </c>
      <c r="S36" s="74"/>
      <c r="T36" s="74">
        <f t="shared" ref="T36" si="31">SUM(O36:S36)</f>
        <v>19.370649571904842</v>
      </c>
      <c r="U36" s="77"/>
      <c r="V36" s="74"/>
      <c r="W36" s="98"/>
      <c r="X36" s="74">
        <f>R36</f>
        <v>19.370649571904842</v>
      </c>
      <c r="Y36" s="77"/>
      <c r="Z36" s="77"/>
      <c r="AA36" s="77"/>
      <c r="AB36" s="77"/>
      <c r="AC36" s="77"/>
      <c r="AD36" s="77"/>
      <c r="AE36" s="80"/>
      <c r="AF36" s="80"/>
      <c r="AG36" s="89"/>
      <c r="AH36" s="1"/>
      <c r="AI36" s="1"/>
      <c r="AJ36" s="1"/>
      <c r="AK36" s="1"/>
      <c r="AL36" s="1"/>
      <c r="AM36" s="1"/>
    </row>
    <row r="37" spans="1:39" s="30" customFormat="1" ht="54">
      <c r="A37" s="84" t="s">
        <v>234</v>
      </c>
      <c r="B37" s="85" t="s">
        <v>75</v>
      </c>
      <c r="C37" s="86" t="s">
        <v>25</v>
      </c>
      <c r="D37" s="77">
        <f>M37</f>
        <v>13</v>
      </c>
      <c r="E37" s="86">
        <v>2024</v>
      </c>
      <c r="F37" s="86">
        <v>2024</v>
      </c>
      <c r="G37" s="77">
        <f t="shared" si="21"/>
        <v>12.134686199017915</v>
      </c>
      <c r="H37" s="74">
        <f t="shared" ref="H37" si="32">T37</f>
        <v>12.134686199017915</v>
      </c>
      <c r="I37" s="74"/>
      <c r="J37" s="74"/>
      <c r="K37" s="74"/>
      <c r="L37" s="74"/>
      <c r="M37" s="74">
        <v>13</v>
      </c>
      <c r="N37" s="74"/>
      <c r="O37" s="74"/>
      <c r="P37" s="74"/>
      <c r="Q37" s="74"/>
      <c r="R37" s="74"/>
      <c r="S37" s="74">
        <f xml:space="preserve"> 9.836*1.05*1.048*1.031*1.03*1.028*1.027</f>
        <v>12.134686199017915</v>
      </c>
      <c r="T37" s="74">
        <f t="shared" ref="T37" si="33">SUM(O37:S37)</f>
        <v>12.134686199017915</v>
      </c>
      <c r="U37" s="77"/>
      <c r="V37" s="74"/>
      <c r="W37" s="77"/>
      <c r="X37" s="74"/>
      <c r="Y37" s="77">
        <f>S37</f>
        <v>12.134686199017915</v>
      </c>
      <c r="Z37" s="77"/>
      <c r="AA37" s="77"/>
      <c r="AB37" s="77"/>
      <c r="AC37" s="77"/>
      <c r="AD37" s="77"/>
      <c r="AE37" s="80"/>
      <c r="AF37" s="80"/>
      <c r="AG37" s="89"/>
      <c r="AH37" s="1"/>
      <c r="AI37" s="1"/>
      <c r="AJ37" s="1"/>
      <c r="AK37" s="1"/>
      <c r="AL37" s="1"/>
      <c r="AM37" s="1"/>
    </row>
    <row r="38" spans="1:39" s="30" customFormat="1" ht="36">
      <c r="A38" s="84" t="s">
        <v>287</v>
      </c>
      <c r="B38" s="85" t="s">
        <v>76</v>
      </c>
      <c r="C38" s="86" t="s">
        <v>25</v>
      </c>
      <c r="D38" s="77">
        <f>L38</f>
        <v>19</v>
      </c>
      <c r="E38" s="86">
        <v>2023</v>
      </c>
      <c r="F38" s="86">
        <v>2023</v>
      </c>
      <c r="G38" s="77">
        <f t="shared" si="21"/>
        <v>25.336676602121674</v>
      </c>
      <c r="H38" s="74">
        <f t="shared" ref="H38" si="34">T38</f>
        <v>25.336676602121674</v>
      </c>
      <c r="I38" s="74"/>
      <c r="J38" s="74"/>
      <c r="K38" s="74"/>
      <c r="L38" s="74">
        <v>19</v>
      </c>
      <c r="M38" s="74"/>
      <c r="N38" s="74"/>
      <c r="O38" s="74"/>
      <c r="P38" s="74"/>
      <c r="Q38" s="74"/>
      <c r="R38" s="74">
        <f>1.05*1.048*1.031*1.03*1.028*21.091626</f>
        <v>25.336676602121674</v>
      </c>
      <c r="S38" s="74">
        <v>0</v>
      </c>
      <c r="T38" s="74">
        <f t="shared" ref="T38" si="35">SUM(O38:S38)</f>
        <v>25.336676602121674</v>
      </c>
      <c r="U38" s="77"/>
      <c r="V38" s="74"/>
      <c r="W38" s="77"/>
      <c r="X38" s="77">
        <f>R38</f>
        <v>25.336676602121674</v>
      </c>
      <c r="Y38" s="77">
        <f>S38</f>
        <v>0</v>
      </c>
      <c r="Z38" s="77"/>
      <c r="AA38" s="77"/>
      <c r="AB38" s="77"/>
      <c r="AC38" s="77"/>
      <c r="AD38" s="77"/>
      <c r="AE38" s="80"/>
      <c r="AF38" s="80"/>
      <c r="AG38" s="89"/>
      <c r="AH38" s="1"/>
      <c r="AI38" s="1"/>
      <c r="AJ38" s="1"/>
      <c r="AK38" s="1"/>
      <c r="AL38" s="1"/>
      <c r="AM38" s="1"/>
    </row>
    <row r="39" spans="1:39" s="30" customFormat="1" ht="54">
      <c r="A39" s="84" t="s">
        <v>235</v>
      </c>
      <c r="B39" s="85" t="s">
        <v>163</v>
      </c>
      <c r="C39" s="86" t="s">
        <v>25</v>
      </c>
      <c r="D39" s="77">
        <f>M39</f>
        <v>14</v>
      </c>
      <c r="E39" s="86">
        <v>2024</v>
      </c>
      <c r="F39" s="86">
        <v>2024</v>
      </c>
      <c r="G39" s="77">
        <f t="shared" si="21"/>
        <v>11.897815545275394</v>
      </c>
      <c r="H39" s="74">
        <f t="shared" ref="H39" si="36">T39</f>
        <v>11.897815545275394</v>
      </c>
      <c r="I39" s="74"/>
      <c r="J39" s="74"/>
      <c r="K39" s="74"/>
      <c r="L39" s="74"/>
      <c r="M39" s="74">
        <v>14</v>
      </c>
      <c r="N39" s="74"/>
      <c r="O39" s="74"/>
      <c r="P39" s="74"/>
      <c r="Q39" s="74"/>
      <c r="R39" s="74"/>
      <c r="S39" s="74">
        <f>1.05*1.048*1.031*1.03*1.028*1.027*9.644</f>
        <v>11.897815545275394</v>
      </c>
      <c r="T39" s="74">
        <f t="shared" ref="T39" si="37">SUM(O39:S39)</f>
        <v>11.897815545275394</v>
      </c>
      <c r="U39" s="77"/>
      <c r="V39" s="74"/>
      <c r="W39" s="77"/>
      <c r="X39" s="77"/>
      <c r="Y39" s="77">
        <f>S39</f>
        <v>11.897815545275394</v>
      </c>
      <c r="Z39" s="77"/>
      <c r="AA39" s="77"/>
      <c r="AB39" s="77"/>
      <c r="AC39" s="77"/>
      <c r="AD39" s="77"/>
      <c r="AE39" s="80"/>
      <c r="AF39" s="80"/>
      <c r="AG39" s="89"/>
      <c r="AH39" s="1"/>
      <c r="AI39" s="1"/>
      <c r="AJ39" s="1"/>
      <c r="AK39" s="1"/>
      <c r="AL39" s="1"/>
      <c r="AM39" s="1"/>
    </row>
    <row r="40" spans="1:39" s="30" customFormat="1" ht="54">
      <c r="A40" s="84" t="s">
        <v>236</v>
      </c>
      <c r="B40" s="85" t="s">
        <v>77</v>
      </c>
      <c r="C40" s="86" t="s">
        <v>25</v>
      </c>
      <c r="D40" s="77">
        <f>M40</f>
        <v>14</v>
      </c>
      <c r="E40" s="86">
        <v>2024</v>
      </c>
      <c r="F40" s="86">
        <v>2024</v>
      </c>
      <c r="G40" s="77">
        <f t="shared" ref="G40" si="38">T40</f>
        <v>11.772791019645599</v>
      </c>
      <c r="H40" s="74">
        <f t="shared" ref="H40" si="39">T40</f>
        <v>11.772791019645599</v>
      </c>
      <c r="I40" s="74"/>
      <c r="J40" s="74"/>
      <c r="K40" s="74"/>
      <c r="L40" s="74"/>
      <c r="M40" s="74">
        <v>14</v>
      </c>
      <c r="N40" s="74"/>
      <c r="O40" s="74"/>
      <c r="P40" s="74"/>
      <c r="Q40" s="74"/>
      <c r="R40" s="74"/>
      <c r="S40" s="74">
        <f>1.05*1.048*1.031*1.03*1.028*1.027*9.542659</f>
        <v>11.772791019645599</v>
      </c>
      <c r="T40" s="74">
        <f t="shared" ref="T40" si="40">SUM(O40:S40)</f>
        <v>11.772791019645599</v>
      </c>
      <c r="U40" s="77"/>
      <c r="V40" s="74"/>
      <c r="W40" s="77"/>
      <c r="X40" s="77"/>
      <c r="Y40" s="77">
        <f>S40</f>
        <v>11.772791019645599</v>
      </c>
      <c r="Z40" s="77"/>
      <c r="AA40" s="77"/>
      <c r="AB40" s="77"/>
      <c r="AC40" s="77"/>
      <c r="AD40" s="77"/>
      <c r="AE40" s="80"/>
      <c r="AF40" s="80"/>
      <c r="AG40" s="89"/>
      <c r="AH40" s="1"/>
      <c r="AI40" s="1"/>
      <c r="AJ40" s="1"/>
      <c r="AK40" s="1"/>
      <c r="AL40" s="1"/>
      <c r="AM40" s="1"/>
    </row>
    <row r="41" spans="1:39" s="142" customFormat="1" ht="17.399999999999999">
      <c r="A41" s="143"/>
      <c r="B41" s="137" t="s">
        <v>210</v>
      </c>
      <c r="C41" s="137"/>
      <c r="D41" s="139">
        <f>SUM(D42:D45)</f>
        <v>4.88</v>
      </c>
      <c r="E41" s="137"/>
      <c r="F41" s="137"/>
      <c r="G41" s="139">
        <f t="shared" ref="G41:Y41" si="41">SUM(G42:G45)</f>
        <v>2.3258986775812462</v>
      </c>
      <c r="H41" s="139">
        <f t="shared" si="41"/>
        <v>2.3258986775812462</v>
      </c>
      <c r="I41" s="139">
        <f t="shared" si="41"/>
        <v>0</v>
      </c>
      <c r="J41" s="139">
        <f t="shared" si="41"/>
        <v>1.1499999999999999</v>
      </c>
      <c r="K41" s="139">
        <f t="shared" si="41"/>
        <v>1.2</v>
      </c>
      <c r="L41" s="139">
        <f t="shared" si="41"/>
        <v>1.53</v>
      </c>
      <c r="M41" s="139">
        <f t="shared" si="41"/>
        <v>1</v>
      </c>
      <c r="N41" s="139">
        <f t="shared" si="41"/>
        <v>4.88</v>
      </c>
      <c r="O41" s="139"/>
      <c r="P41" s="139">
        <f t="shared" si="41"/>
        <v>0.57633229919999995</v>
      </c>
      <c r="Q41" s="139">
        <f t="shared" si="41"/>
        <v>0.67892625553199992</v>
      </c>
      <c r="R41" s="139">
        <f t="shared" si="41"/>
        <v>0.55618667175220804</v>
      </c>
      <c r="S41" s="139">
        <f t="shared" si="41"/>
        <v>0.51445345109703844</v>
      </c>
      <c r="T41" s="139">
        <f t="shared" si="41"/>
        <v>2.3258986775812462</v>
      </c>
      <c r="U41" s="139">
        <f t="shared" si="41"/>
        <v>0</v>
      </c>
      <c r="V41" s="139">
        <f t="shared" si="41"/>
        <v>0.57633229919999995</v>
      </c>
      <c r="W41" s="139">
        <f t="shared" si="41"/>
        <v>0.67892625553199992</v>
      </c>
      <c r="X41" s="139">
        <f t="shared" si="41"/>
        <v>0.55618667175220804</v>
      </c>
      <c r="Y41" s="139">
        <f t="shared" si="41"/>
        <v>0.51445345109703844</v>
      </c>
      <c r="Z41" s="139"/>
      <c r="AA41" s="139"/>
      <c r="AB41" s="139"/>
      <c r="AC41" s="139"/>
      <c r="AD41" s="139"/>
      <c r="AE41" s="140"/>
      <c r="AF41" s="140"/>
      <c r="AG41" s="141"/>
      <c r="AH41" s="134"/>
      <c r="AI41" s="134"/>
      <c r="AJ41" s="134"/>
      <c r="AK41" s="134"/>
      <c r="AL41" s="134"/>
      <c r="AM41" s="134"/>
    </row>
    <row r="42" spans="1:39" s="30" customFormat="1" ht="36">
      <c r="A42" s="84" t="s">
        <v>237</v>
      </c>
      <c r="B42" s="93" t="s">
        <v>211</v>
      </c>
      <c r="C42" s="86" t="s">
        <v>25</v>
      </c>
      <c r="D42" s="74">
        <f>J42</f>
        <v>1.1499999999999999</v>
      </c>
      <c r="E42" s="86">
        <v>2021</v>
      </c>
      <c r="F42" s="86">
        <v>2021</v>
      </c>
      <c r="G42" s="74">
        <f t="shared" ref="G42:G45" si="42">H42</f>
        <v>0.57633229919999995</v>
      </c>
      <c r="H42" s="74">
        <f t="shared" ref="H42:H45" si="43">T42</f>
        <v>0.57633229919999995</v>
      </c>
      <c r="I42" s="74"/>
      <c r="J42" s="74">
        <v>1.1499999999999999</v>
      </c>
      <c r="K42" s="74"/>
      <c r="L42" s="74"/>
      <c r="M42" s="74"/>
      <c r="N42" s="74">
        <f>SUM(I42:M42)</f>
        <v>1.1499999999999999</v>
      </c>
      <c r="O42" s="74"/>
      <c r="P42" s="74">
        <f>1.05*1.048*1.031*0.508</f>
        <v>0.57633229919999995</v>
      </c>
      <c r="Q42" s="74"/>
      <c r="R42" s="74"/>
      <c r="S42" s="74"/>
      <c r="T42" s="74">
        <f t="shared" ref="T42:T44" si="44">SUM(O42:S42)</f>
        <v>0.57633229919999995</v>
      </c>
      <c r="U42" s="74"/>
      <c r="V42" s="74">
        <f>P42</f>
        <v>0.57633229919999995</v>
      </c>
      <c r="W42" s="74"/>
      <c r="X42" s="74"/>
      <c r="Y42" s="74"/>
      <c r="Z42" s="74"/>
      <c r="AA42" s="74"/>
      <c r="AB42" s="74"/>
      <c r="AC42" s="74"/>
      <c r="AD42" s="74"/>
      <c r="AE42" s="80"/>
      <c r="AF42" s="80"/>
      <c r="AG42" s="89"/>
      <c r="AH42" s="1"/>
      <c r="AI42" s="1"/>
      <c r="AJ42" s="1"/>
      <c r="AK42" s="1"/>
      <c r="AL42" s="1"/>
      <c r="AM42" s="1"/>
    </row>
    <row r="43" spans="1:39" s="30" customFormat="1" ht="36">
      <c r="A43" s="84" t="s">
        <v>238</v>
      </c>
      <c r="B43" s="93" t="s">
        <v>212</v>
      </c>
      <c r="C43" s="86" t="s">
        <v>25</v>
      </c>
      <c r="D43" s="74">
        <f>K43</f>
        <v>1.2</v>
      </c>
      <c r="E43" s="86">
        <v>2022</v>
      </c>
      <c r="F43" s="86">
        <v>2022</v>
      </c>
      <c r="G43" s="74">
        <f t="shared" si="42"/>
        <v>0.67892625553199992</v>
      </c>
      <c r="H43" s="74">
        <f t="shared" si="43"/>
        <v>0.67892625553199992</v>
      </c>
      <c r="I43" s="74"/>
      <c r="J43" s="98"/>
      <c r="K43" s="74">
        <v>1.2</v>
      </c>
      <c r="L43" s="74"/>
      <c r="M43" s="74"/>
      <c r="N43" s="74">
        <f>SUM(I43:M43)</f>
        <v>1.2</v>
      </c>
      <c r="O43" s="74"/>
      <c r="P43" s="80"/>
      <c r="Q43" s="74">
        <f>1.05*1.048*1.031*1.03*0.581</f>
        <v>0.67892625553199992</v>
      </c>
      <c r="R43" s="74"/>
      <c r="S43" s="74"/>
      <c r="T43" s="74">
        <f t="shared" si="44"/>
        <v>0.67892625553199992</v>
      </c>
      <c r="U43" s="74"/>
      <c r="V43" s="74"/>
      <c r="W43" s="74">
        <f>Q43</f>
        <v>0.67892625553199992</v>
      </c>
      <c r="X43" s="74"/>
      <c r="Y43" s="74"/>
      <c r="Z43" s="74"/>
      <c r="AA43" s="74"/>
      <c r="AB43" s="74"/>
      <c r="AC43" s="74"/>
      <c r="AD43" s="74"/>
      <c r="AE43" s="80"/>
      <c r="AF43" s="80"/>
      <c r="AG43" s="89"/>
      <c r="AH43" s="1"/>
      <c r="AI43" s="1"/>
      <c r="AJ43" s="1"/>
      <c r="AK43" s="1"/>
      <c r="AL43" s="1"/>
      <c r="AM43" s="1"/>
    </row>
    <row r="44" spans="1:39" s="30" customFormat="1" ht="36">
      <c r="A44" s="84" t="s">
        <v>239</v>
      </c>
      <c r="B44" s="93" t="s">
        <v>213</v>
      </c>
      <c r="C44" s="86" t="s">
        <v>25</v>
      </c>
      <c r="D44" s="74">
        <f>N44</f>
        <v>1.53</v>
      </c>
      <c r="E44" s="86">
        <v>2023</v>
      </c>
      <c r="F44" s="86">
        <v>2023</v>
      </c>
      <c r="G44" s="74">
        <f t="shared" si="42"/>
        <v>0.55618667175220804</v>
      </c>
      <c r="H44" s="74">
        <f t="shared" si="43"/>
        <v>0.55618667175220804</v>
      </c>
      <c r="I44" s="74"/>
      <c r="J44" s="74"/>
      <c r="K44" s="74"/>
      <c r="L44" s="74">
        <v>1.53</v>
      </c>
      <c r="M44" s="74"/>
      <c r="N44" s="74">
        <f>SUM(I44:M44)</f>
        <v>1.53</v>
      </c>
      <c r="O44" s="74"/>
      <c r="P44" s="80"/>
      <c r="Q44" s="74"/>
      <c r="R44" s="74">
        <f>1.05*1.048*1.031*1.03*1.028*0.463</f>
        <v>0.55618667175220804</v>
      </c>
      <c r="S44" s="74"/>
      <c r="T44" s="74">
        <f t="shared" si="44"/>
        <v>0.55618667175220804</v>
      </c>
      <c r="U44" s="74"/>
      <c r="V44" s="80"/>
      <c r="W44" s="74"/>
      <c r="X44" s="74">
        <f>R44</f>
        <v>0.55618667175220804</v>
      </c>
      <c r="Y44" s="74"/>
      <c r="Z44" s="74"/>
      <c r="AA44" s="74"/>
      <c r="AB44" s="74"/>
      <c r="AC44" s="74"/>
      <c r="AD44" s="74"/>
      <c r="AE44" s="80"/>
      <c r="AF44" s="80"/>
      <c r="AG44" s="89"/>
      <c r="AH44" s="1"/>
      <c r="AI44" s="1"/>
      <c r="AJ44" s="1"/>
      <c r="AK44" s="1"/>
      <c r="AL44" s="1"/>
      <c r="AM44" s="1"/>
    </row>
    <row r="45" spans="1:39" s="30" customFormat="1" ht="36">
      <c r="A45" s="84" t="s">
        <v>240</v>
      </c>
      <c r="B45" s="93" t="s">
        <v>214</v>
      </c>
      <c r="C45" s="86" t="s">
        <v>25</v>
      </c>
      <c r="D45" s="74">
        <f>M45</f>
        <v>1</v>
      </c>
      <c r="E45" s="86">
        <v>2024</v>
      </c>
      <c r="F45" s="86">
        <v>2024</v>
      </c>
      <c r="G45" s="74">
        <f t="shared" si="42"/>
        <v>0.51445345109703844</v>
      </c>
      <c r="H45" s="74">
        <f t="shared" si="43"/>
        <v>0.51445345109703844</v>
      </c>
      <c r="I45" s="74"/>
      <c r="J45" s="80"/>
      <c r="K45" s="74"/>
      <c r="L45" s="74"/>
      <c r="M45" s="74">
        <v>1</v>
      </c>
      <c r="N45" s="74">
        <f>SUM(I45:M45)</f>
        <v>1</v>
      </c>
      <c r="O45" s="74"/>
      <c r="P45" s="80"/>
      <c r="Q45" s="74"/>
      <c r="R45" s="80"/>
      <c r="S45" s="74">
        <f>1.05*1.048*1.031*1.03*1.028*1.027*0.417</f>
        <v>0.51445345109703844</v>
      </c>
      <c r="T45" s="74">
        <f>SUM(O45:S45)</f>
        <v>0.51445345109703844</v>
      </c>
      <c r="U45" s="74"/>
      <c r="V45" s="80"/>
      <c r="W45" s="74"/>
      <c r="X45" s="80"/>
      <c r="Y45" s="74">
        <f>S45</f>
        <v>0.51445345109703844</v>
      </c>
      <c r="Z45" s="74"/>
      <c r="AA45" s="74"/>
      <c r="AB45" s="74"/>
      <c r="AC45" s="74"/>
      <c r="AD45" s="74"/>
      <c r="AE45" s="80"/>
      <c r="AF45" s="80"/>
      <c r="AG45" s="89"/>
      <c r="AH45" s="1"/>
      <c r="AI45" s="1"/>
      <c r="AJ45" s="1"/>
      <c r="AK45" s="1"/>
      <c r="AL45" s="1"/>
      <c r="AM45" s="1"/>
    </row>
    <row r="46" spans="1:39" s="145" customFormat="1" ht="17.399999999999999">
      <c r="A46" s="135"/>
      <c r="B46" s="137" t="s">
        <v>30</v>
      </c>
      <c r="C46" s="137"/>
      <c r="D46" s="139">
        <f>SUM(D47:D60)</f>
        <v>13.06</v>
      </c>
      <c r="E46" s="137"/>
      <c r="F46" s="137"/>
      <c r="G46" s="138">
        <f>SUM(G47:G60)</f>
        <v>17.928395622036117</v>
      </c>
      <c r="H46" s="138">
        <f>SUM(H47:H60)</f>
        <v>17.928395622036117</v>
      </c>
      <c r="I46" s="139">
        <f t="shared" ref="I46:Y46" si="45">SUM(I47:I60)</f>
        <v>1.9049999999999998</v>
      </c>
      <c r="J46" s="139">
        <f t="shared" si="45"/>
        <v>5.0950000000000006</v>
      </c>
      <c r="K46" s="139">
        <f t="shared" si="45"/>
        <v>1.65</v>
      </c>
      <c r="L46" s="139">
        <f t="shared" si="45"/>
        <v>1.06</v>
      </c>
      <c r="M46" s="139">
        <f t="shared" si="45"/>
        <v>3.35</v>
      </c>
      <c r="N46" s="139">
        <f t="shared" si="45"/>
        <v>13.06</v>
      </c>
      <c r="O46" s="138">
        <f t="shared" si="45"/>
        <v>2.4724777560000004</v>
      </c>
      <c r="P46" s="139">
        <f t="shared" si="45"/>
        <v>6.8218230612000008</v>
      </c>
      <c r="Q46" s="139">
        <f t="shared" si="45"/>
        <v>2.7092195819933997</v>
      </c>
      <c r="R46" s="139">
        <f t="shared" si="45"/>
        <v>0.93578707839086395</v>
      </c>
      <c r="S46" s="139">
        <f t="shared" si="45"/>
        <v>4.9890881444518547</v>
      </c>
      <c r="T46" s="139">
        <f t="shared" si="45"/>
        <v>17.928395622036117</v>
      </c>
      <c r="U46" s="139">
        <f t="shared" si="45"/>
        <v>2.4724777560000004</v>
      </c>
      <c r="V46" s="139">
        <f t="shared" si="45"/>
        <v>6.8218230612000008</v>
      </c>
      <c r="W46" s="139">
        <f t="shared" si="45"/>
        <v>2.7092195819933997</v>
      </c>
      <c r="X46" s="139">
        <f t="shared" si="45"/>
        <v>0.93578707839086395</v>
      </c>
      <c r="Y46" s="139">
        <f t="shared" si="45"/>
        <v>4.9890881444518547</v>
      </c>
      <c r="Z46" s="138"/>
      <c r="AA46" s="138"/>
      <c r="AB46" s="138"/>
      <c r="AC46" s="138"/>
      <c r="AD46" s="138"/>
      <c r="AE46" s="140"/>
      <c r="AF46" s="140"/>
      <c r="AG46" s="141"/>
      <c r="AH46" s="134"/>
      <c r="AI46" s="134"/>
      <c r="AJ46" s="134"/>
      <c r="AK46" s="134"/>
      <c r="AL46" s="134"/>
      <c r="AM46" s="134"/>
    </row>
    <row r="47" spans="1:39" s="32" customFormat="1" ht="36">
      <c r="A47" s="84" t="s">
        <v>241</v>
      </c>
      <c r="B47" s="85" t="s">
        <v>79</v>
      </c>
      <c r="C47" s="86" t="s">
        <v>25</v>
      </c>
      <c r="D47" s="74">
        <v>0.71499999999999997</v>
      </c>
      <c r="E47" s="86">
        <v>2020</v>
      </c>
      <c r="F47" s="86">
        <v>2020</v>
      </c>
      <c r="G47" s="77">
        <f t="shared" ref="G47:G58" si="46">T47</f>
        <v>0.92543640000000005</v>
      </c>
      <c r="H47" s="74">
        <f t="shared" ref="H47:H58" si="47">T47</f>
        <v>0.92543640000000005</v>
      </c>
      <c r="I47" s="74">
        <f>D47</f>
        <v>0.71499999999999997</v>
      </c>
      <c r="J47" s="75"/>
      <c r="K47" s="75"/>
      <c r="L47" s="74"/>
      <c r="M47" s="75"/>
      <c r="N47" s="74">
        <f t="shared" ref="N47:N54" si="48">SUM(I47:M47)</f>
        <v>0.71499999999999997</v>
      </c>
      <c r="O47" s="74">
        <f>1.05*1.048*0.841</f>
        <v>0.92543640000000005</v>
      </c>
      <c r="P47" s="75"/>
      <c r="Q47" s="94"/>
      <c r="R47" s="74"/>
      <c r="S47" s="95"/>
      <c r="T47" s="74">
        <f>SUM(O47:S47)</f>
        <v>0.92543640000000005</v>
      </c>
      <c r="U47" s="77">
        <f>O47</f>
        <v>0.92543640000000005</v>
      </c>
      <c r="V47" s="75"/>
      <c r="W47" s="75"/>
      <c r="X47" s="74"/>
      <c r="Y47" s="75"/>
      <c r="Z47" s="76"/>
      <c r="AA47" s="76"/>
      <c r="AB47" s="76"/>
      <c r="AC47" s="76"/>
      <c r="AD47" s="76"/>
      <c r="AE47" s="91"/>
      <c r="AF47" s="91"/>
      <c r="AG47" s="89"/>
      <c r="AH47" s="1"/>
      <c r="AI47" s="1"/>
      <c r="AJ47" s="1"/>
      <c r="AK47" s="1"/>
      <c r="AL47" s="1"/>
      <c r="AM47" s="1"/>
    </row>
    <row r="48" spans="1:39" s="32" customFormat="1" ht="36">
      <c r="A48" s="84" t="s">
        <v>242</v>
      </c>
      <c r="B48" s="85" t="s">
        <v>78</v>
      </c>
      <c r="C48" s="86" t="s">
        <v>25</v>
      </c>
      <c r="D48" s="74">
        <v>0.26500000000000001</v>
      </c>
      <c r="E48" s="86">
        <v>2021</v>
      </c>
      <c r="F48" s="86">
        <v>2021</v>
      </c>
      <c r="G48" s="77">
        <f t="shared" si="46"/>
        <v>0.3369501828</v>
      </c>
      <c r="H48" s="74">
        <f t="shared" si="47"/>
        <v>0.3369501828</v>
      </c>
      <c r="I48" s="91"/>
      <c r="J48" s="74">
        <f>D48</f>
        <v>0.26500000000000001</v>
      </c>
      <c r="K48" s="75"/>
      <c r="L48" s="74"/>
      <c r="M48" s="75"/>
      <c r="N48" s="74">
        <f>SUM(J48:M48)</f>
        <v>0.26500000000000001</v>
      </c>
      <c r="O48" s="15"/>
      <c r="P48" s="74">
        <f>1.05*1.048*1.031*0.297</f>
        <v>0.3369501828</v>
      </c>
      <c r="Q48" s="94"/>
      <c r="R48" s="74"/>
      <c r="S48" s="95"/>
      <c r="T48" s="74">
        <f>SUM(P48:S48)</f>
        <v>0.3369501828</v>
      </c>
      <c r="U48" s="15"/>
      <c r="V48" s="77">
        <f>P48</f>
        <v>0.3369501828</v>
      </c>
      <c r="W48" s="75"/>
      <c r="X48" s="74"/>
      <c r="Y48" s="75"/>
      <c r="Z48" s="76"/>
      <c r="AA48" s="76"/>
      <c r="AB48" s="76"/>
      <c r="AC48" s="76"/>
      <c r="AD48" s="76"/>
      <c r="AE48" s="91"/>
      <c r="AF48" s="91"/>
      <c r="AG48" s="89"/>
      <c r="AH48" s="1"/>
      <c r="AI48" s="1"/>
      <c r="AJ48" s="1"/>
      <c r="AK48" s="1"/>
      <c r="AL48" s="1"/>
      <c r="AM48" s="1"/>
    </row>
    <row r="49" spans="1:39" s="32" customFormat="1" ht="36">
      <c r="A49" s="84" t="s">
        <v>243</v>
      </c>
      <c r="B49" s="85" t="s">
        <v>80</v>
      </c>
      <c r="C49" s="86" t="s">
        <v>25</v>
      </c>
      <c r="D49" s="74">
        <v>0.25</v>
      </c>
      <c r="E49" s="86">
        <v>2021</v>
      </c>
      <c r="F49" s="86">
        <v>2021</v>
      </c>
      <c r="G49" s="77">
        <f t="shared" si="46"/>
        <v>0.2904351744</v>
      </c>
      <c r="H49" s="74">
        <f t="shared" si="47"/>
        <v>0.2904351744</v>
      </c>
      <c r="I49" s="15"/>
      <c r="J49" s="74">
        <f>D49</f>
        <v>0.25</v>
      </c>
      <c r="K49" s="75"/>
      <c r="L49" s="74"/>
      <c r="M49" s="75"/>
      <c r="N49" s="74">
        <f t="shared" si="48"/>
        <v>0.25</v>
      </c>
      <c r="O49" s="76"/>
      <c r="P49" s="74">
        <f>1.05*1.048*1.031*0.256</f>
        <v>0.2904351744</v>
      </c>
      <c r="Q49" s="94"/>
      <c r="R49" s="74"/>
      <c r="S49" s="95"/>
      <c r="T49" s="74">
        <f t="shared" ref="T49" si="49">SUM(O49:S49)</f>
        <v>0.2904351744</v>
      </c>
      <c r="U49" s="76"/>
      <c r="V49" s="77">
        <f>P49</f>
        <v>0.2904351744</v>
      </c>
      <c r="W49" s="75"/>
      <c r="X49" s="74"/>
      <c r="Y49" s="75"/>
      <c r="Z49" s="76"/>
      <c r="AA49" s="76"/>
      <c r="AB49" s="76"/>
      <c r="AC49" s="76"/>
      <c r="AD49" s="76"/>
      <c r="AE49" s="91"/>
      <c r="AF49" s="91"/>
      <c r="AG49" s="89"/>
      <c r="AH49" s="1"/>
      <c r="AI49" s="1"/>
      <c r="AJ49" s="1"/>
      <c r="AK49" s="1"/>
      <c r="AL49" s="1"/>
      <c r="AM49" s="1"/>
    </row>
    <row r="50" spans="1:39" s="32" customFormat="1" ht="36">
      <c r="A50" s="84" t="s">
        <v>268</v>
      </c>
      <c r="B50" s="85" t="s">
        <v>81</v>
      </c>
      <c r="C50" s="86" t="s">
        <v>25</v>
      </c>
      <c r="D50" s="74">
        <v>1.58</v>
      </c>
      <c r="E50" s="86">
        <v>2021</v>
      </c>
      <c r="F50" s="86">
        <v>2021</v>
      </c>
      <c r="G50" s="77">
        <f t="shared" si="46"/>
        <v>2.0114904852</v>
      </c>
      <c r="H50" s="74">
        <f t="shared" si="47"/>
        <v>2.0114904852</v>
      </c>
      <c r="I50" s="75"/>
      <c r="J50" s="74">
        <f>D50</f>
        <v>1.58</v>
      </c>
      <c r="K50" s="75"/>
      <c r="L50" s="91"/>
      <c r="M50" s="75"/>
      <c r="N50" s="74">
        <f t="shared" si="48"/>
        <v>1.58</v>
      </c>
      <c r="O50" s="76"/>
      <c r="P50" s="74">
        <f>1.05*1.048*1.031*1.773</f>
        <v>2.0114904852</v>
      </c>
      <c r="Q50" s="94"/>
      <c r="R50" s="74"/>
      <c r="S50" s="95"/>
      <c r="T50" s="74">
        <f t="shared" ref="T50" si="50">SUM(O50:S50)</f>
        <v>2.0114904852</v>
      </c>
      <c r="U50" s="76"/>
      <c r="V50" s="77">
        <f>P50</f>
        <v>2.0114904852</v>
      </c>
      <c r="W50" s="75"/>
      <c r="X50" s="74"/>
      <c r="Y50" s="75"/>
      <c r="Z50" s="76"/>
      <c r="AA50" s="76"/>
      <c r="AB50" s="76"/>
      <c r="AC50" s="76"/>
      <c r="AD50" s="76"/>
      <c r="AE50" s="91"/>
      <c r="AF50" s="91"/>
      <c r="AG50" s="89"/>
      <c r="AH50" s="1"/>
      <c r="AI50" s="1"/>
      <c r="AJ50" s="1"/>
      <c r="AK50" s="1"/>
      <c r="AL50" s="1"/>
      <c r="AM50" s="1"/>
    </row>
    <row r="51" spans="1:39" s="32" customFormat="1" ht="36">
      <c r="A51" s="84" t="s">
        <v>269</v>
      </c>
      <c r="B51" s="85" t="s">
        <v>82</v>
      </c>
      <c r="C51" s="86" t="s">
        <v>25</v>
      </c>
      <c r="D51" s="74">
        <v>0.15</v>
      </c>
      <c r="E51" s="86">
        <v>2022</v>
      </c>
      <c r="F51" s="86">
        <v>2022</v>
      </c>
      <c r="G51" s="77">
        <f t="shared" ref="G51" si="51">T51</f>
        <v>0.19684187219339996</v>
      </c>
      <c r="H51" s="74">
        <f t="shared" si="47"/>
        <v>0.19684187219339996</v>
      </c>
      <c r="I51" s="75"/>
      <c r="J51" s="75"/>
      <c r="K51" s="74">
        <f>D51</f>
        <v>0.15</v>
      </c>
      <c r="L51" s="15"/>
      <c r="M51" s="75"/>
      <c r="N51" s="74">
        <f t="shared" si="48"/>
        <v>0.15</v>
      </c>
      <c r="O51" s="76"/>
      <c r="P51" s="75"/>
      <c r="Q51" s="74">
        <f>1.05*1.048*1.031*1.03*K51*1.123</f>
        <v>0.19684187219339996</v>
      </c>
      <c r="R51" s="74"/>
      <c r="S51" s="95"/>
      <c r="T51" s="74">
        <f t="shared" ref="T51" si="52">SUM(O51:S51)</f>
        <v>0.19684187219339996</v>
      </c>
      <c r="U51" s="76"/>
      <c r="V51" s="75"/>
      <c r="W51" s="77">
        <f>Q51</f>
        <v>0.19684187219339996</v>
      </c>
      <c r="X51" s="74"/>
      <c r="Y51" s="75"/>
      <c r="Z51" s="76"/>
      <c r="AA51" s="76"/>
      <c r="AB51" s="76"/>
      <c r="AC51" s="76"/>
      <c r="AD51" s="76"/>
      <c r="AE51" s="91"/>
      <c r="AF51" s="91"/>
      <c r="AG51" s="89"/>
      <c r="AH51" s="1"/>
      <c r="AI51" s="1"/>
      <c r="AJ51" s="1"/>
      <c r="AK51" s="1"/>
      <c r="AL51" s="1"/>
      <c r="AM51" s="1"/>
    </row>
    <row r="52" spans="1:39" s="32" customFormat="1" ht="36">
      <c r="A52" s="84" t="s">
        <v>270</v>
      </c>
      <c r="B52" s="85" t="s">
        <v>83</v>
      </c>
      <c r="C52" s="86" t="s">
        <v>25</v>
      </c>
      <c r="D52" s="74">
        <v>0.3</v>
      </c>
      <c r="E52" s="86">
        <v>2022</v>
      </c>
      <c r="F52" s="86">
        <v>2022</v>
      </c>
      <c r="G52" s="77">
        <f t="shared" si="46"/>
        <v>0.358744166004</v>
      </c>
      <c r="H52" s="74">
        <f t="shared" si="47"/>
        <v>0.358744166004</v>
      </c>
      <c r="I52" s="75"/>
      <c r="J52" s="75"/>
      <c r="K52" s="75"/>
      <c r="L52" s="74">
        <f>D52</f>
        <v>0.3</v>
      </c>
      <c r="M52" s="75"/>
      <c r="N52" s="74">
        <f t="shared" si="48"/>
        <v>0.3</v>
      </c>
      <c r="O52" s="76"/>
      <c r="P52" s="75"/>
      <c r="Q52" s="74">
        <f>1.05*1.048*1.031*1.03*0.307</f>
        <v>0.358744166004</v>
      </c>
      <c r="R52" s="74"/>
      <c r="S52" s="95"/>
      <c r="T52" s="74">
        <f t="shared" ref="T52" si="53">SUM(O52:S52)</f>
        <v>0.358744166004</v>
      </c>
      <c r="U52" s="76"/>
      <c r="V52" s="75"/>
      <c r="W52" s="77">
        <f>Q52</f>
        <v>0.358744166004</v>
      </c>
      <c r="X52" s="74"/>
      <c r="Y52" s="75"/>
      <c r="Z52" s="76"/>
      <c r="AA52" s="76"/>
      <c r="AB52" s="76"/>
      <c r="AC52" s="76"/>
      <c r="AD52" s="76"/>
      <c r="AE52" s="91"/>
      <c r="AF52" s="91"/>
      <c r="AG52" s="89"/>
      <c r="AH52" s="1"/>
      <c r="AI52" s="1"/>
      <c r="AJ52" s="1"/>
      <c r="AK52" s="1"/>
      <c r="AL52" s="1"/>
      <c r="AM52" s="1"/>
    </row>
    <row r="53" spans="1:39" s="32" customFormat="1" ht="36">
      <c r="A53" s="84" t="s">
        <v>271</v>
      </c>
      <c r="B53" s="85" t="s">
        <v>84</v>
      </c>
      <c r="C53" s="86" t="s">
        <v>25</v>
      </c>
      <c r="D53" s="74">
        <v>0.76</v>
      </c>
      <c r="E53" s="86">
        <v>2023</v>
      </c>
      <c r="F53" s="86">
        <v>2023</v>
      </c>
      <c r="G53" s="77">
        <f t="shared" si="46"/>
        <v>0.93578707839086395</v>
      </c>
      <c r="H53" s="74">
        <f t="shared" si="47"/>
        <v>0.93578707839086395</v>
      </c>
      <c r="I53" s="75"/>
      <c r="J53" s="75"/>
      <c r="K53" s="75"/>
      <c r="L53" s="74">
        <f>D53</f>
        <v>0.76</v>
      </c>
      <c r="M53" s="75"/>
      <c r="N53" s="74">
        <f t="shared" si="48"/>
        <v>0.76</v>
      </c>
      <c r="O53" s="76"/>
      <c r="P53" s="75"/>
      <c r="Q53" s="94"/>
      <c r="R53" s="74">
        <f>1.05*1.048*1.031*1.03*1.028*0.779</f>
        <v>0.93578707839086395</v>
      </c>
      <c r="S53" s="95"/>
      <c r="T53" s="74">
        <f t="shared" ref="T53" si="54">SUM(O53:S53)</f>
        <v>0.93578707839086395</v>
      </c>
      <c r="U53" s="76"/>
      <c r="V53" s="75"/>
      <c r="W53" s="75"/>
      <c r="X53" s="74">
        <f t="shared" ref="W53:Y57" si="55">R53</f>
        <v>0.93578707839086395</v>
      </c>
      <c r="Y53" s="75"/>
      <c r="Z53" s="76"/>
      <c r="AA53" s="76"/>
      <c r="AB53" s="76"/>
      <c r="AC53" s="76"/>
      <c r="AD53" s="76"/>
      <c r="AE53" s="91"/>
      <c r="AF53" s="91"/>
      <c r="AG53" s="89"/>
      <c r="AH53" s="1"/>
      <c r="AI53" s="1"/>
      <c r="AJ53" s="1"/>
      <c r="AK53" s="1"/>
      <c r="AL53" s="1"/>
      <c r="AM53" s="1"/>
    </row>
    <row r="54" spans="1:39" s="32" customFormat="1" ht="36">
      <c r="A54" s="84" t="s">
        <v>272</v>
      </c>
      <c r="B54" s="85" t="s">
        <v>85</v>
      </c>
      <c r="C54" s="86" t="s">
        <v>25</v>
      </c>
      <c r="D54" s="74">
        <v>1.5</v>
      </c>
      <c r="E54" s="86">
        <v>2022</v>
      </c>
      <c r="F54" s="86">
        <v>2022</v>
      </c>
      <c r="G54" s="77">
        <f t="shared" si="46"/>
        <v>2.1536335437959999</v>
      </c>
      <c r="H54" s="74">
        <f t="shared" si="47"/>
        <v>2.1536335437959999</v>
      </c>
      <c r="I54" s="75"/>
      <c r="J54" s="75"/>
      <c r="K54" s="74">
        <f>D54</f>
        <v>1.5</v>
      </c>
      <c r="L54" s="15"/>
      <c r="M54" s="75"/>
      <c r="N54" s="74">
        <f t="shared" si="48"/>
        <v>1.5</v>
      </c>
      <c r="O54" s="76"/>
      <c r="P54" s="75"/>
      <c r="Q54" s="74">
        <f>1.05*1.048*1.031*1.03*1.843</f>
        <v>2.1536335437959999</v>
      </c>
      <c r="R54" s="74"/>
      <c r="S54" s="95"/>
      <c r="T54" s="74">
        <f t="shared" ref="T54" si="56">SUM(O54:S54)</f>
        <v>2.1536335437959999</v>
      </c>
      <c r="U54" s="76"/>
      <c r="V54" s="75"/>
      <c r="W54" s="74">
        <f t="shared" si="55"/>
        <v>2.1536335437959999</v>
      </c>
      <c r="X54" s="74"/>
      <c r="Y54" s="75"/>
      <c r="Z54" s="76"/>
      <c r="AA54" s="76"/>
      <c r="AB54" s="76"/>
      <c r="AC54" s="76"/>
      <c r="AD54" s="76"/>
      <c r="AE54" s="91"/>
      <c r="AF54" s="91"/>
      <c r="AG54" s="89"/>
      <c r="AH54" s="1"/>
      <c r="AI54" s="1"/>
      <c r="AJ54" s="1"/>
      <c r="AK54" s="1"/>
      <c r="AL54" s="1"/>
      <c r="AM54" s="1"/>
    </row>
    <row r="55" spans="1:39" s="32" customFormat="1" ht="36">
      <c r="A55" s="84" t="s">
        <v>273</v>
      </c>
      <c r="B55" s="85" t="s">
        <v>86</v>
      </c>
      <c r="C55" s="86" t="s">
        <v>25</v>
      </c>
      <c r="D55" s="74">
        <v>1.4</v>
      </c>
      <c r="E55" s="86">
        <v>2024</v>
      </c>
      <c r="F55" s="86">
        <v>2024</v>
      </c>
      <c r="G55" s="77">
        <f t="shared" si="46"/>
        <v>2.1219662731100866</v>
      </c>
      <c r="H55" s="74">
        <f t="shared" si="47"/>
        <v>2.1219662731100866</v>
      </c>
      <c r="I55" s="75"/>
      <c r="J55" s="75"/>
      <c r="K55" s="75"/>
      <c r="L55" s="74"/>
      <c r="M55" s="74">
        <f>D55</f>
        <v>1.4</v>
      </c>
      <c r="N55" s="74">
        <f t="shared" ref="N55:N59" si="57">SUM(I55:M55)</f>
        <v>1.4</v>
      </c>
      <c r="O55" s="76"/>
      <c r="P55" s="75"/>
      <c r="Q55" s="94"/>
      <c r="R55" s="74"/>
      <c r="S55" s="74">
        <f>1.05*1.048*1.031*1.03*1.028*1.027*1.72</f>
        <v>2.1219662731100866</v>
      </c>
      <c r="T55" s="74">
        <f t="shared" ref="T55" si="58">SUM(O55:S55)</f>
        <v>2.1219662731100866</v>
      </c>
      <c r="U55" s="76"/>
      <c r="V55" s="75"/>
      <c r="W55" s="75"/>
      <c r="X55" s="74"/>
      <c r="Y55" s="74">
        <f t="shared" si="55"/>
        <v>2.1219662731100866</v>
      </c>
      <c r="Z55" s="76"/>
      <c r="AA55" s="76"/>
      <c r="AB55" s="76"/>
      <c r="AC55" s="76"/>
      <c r="AD55" s="76"/>
      <c r="AE55" s="91"/>
      <c r="AF55" s="91"/>
      <c r="AG55" s="89"/>
      <c r="AH55" s="1"/>
      <c r="AI55" s="1"/>
      <c r="AJ55" s="1"/>
      <c r="AK55" s="1"/>
      <c r="AL55" s="1"/>
      <c r="AM55" s="1"/>
    </row>
    <row r="56" spans="1:39" s="32" customFormat="1" ht="36">
      <c r="A56" s="84" t="s">
        <v>274</v>
      </c>
      <c r="B56" s="85" t="s">
        <v>87</v>
      </c>
      <c r="C56" s="86" t="s">
        <v>25</v>
      </c>
      <c r="D56" s="74">
        <v>1.6</v>
      </c>
      <c r="E56" s="86">
        <v>2024</v>
      </c>
      <c r="F56" s="86">
        <v>2024</v>
      </c>
      <c r="G56" s="77">
        <f t="shared" si="46"/>
        <v>2.425456798217692</v>
      </c>
      <c r="H56" s="74">
        <f t="shared" si="47"/>
        <v>2.425456798217692</v>
      </c>
      <c r="I56" s="75"/>
      <c r="J56" s="75"/>
      <c r="K56" s="75"/>
      <c r="L56" s="74"/>
      <c r="M56" s="74">
        <f>D56</f>
        <v>1.6</v>
      </c>
      <c r="N56" s="74">
        <f t="shared" si="57"/>
        <v>1.6</v>
      </c>
      <c r="O56" s="76"/>
      <c r="P56" s="75"/>
      <c r="Q56" s="94"/>
      <c r="R56" s="74"/>
      <c r="S56" s="74">
        <f>1.05*1.048*1.031*1.03*1.028*1.027*1.966</f>
        <v>2.425456798217692</v>
      </c>
      <c r="T56" s="74">
        <f t="shared" ref="T56" si="59">SUM(O56:S56)</f>
        <v>2.425456798217692</v>
      </c>
      <c r="U56" s="76"/>
      <c r="V56" s="75"/>
      <c r="W56" s="75"/>
      <c r="X56" s="74"/>
      <c r="Y56" s="74">
        <f t="shared" si="55"/>
        <v>2.425456798217692</v>
      </c>
      <c r="Z56" s="76"/>
      <c r="AA56" s="76"/>
      <c r="AB56" s="76"/>
      <c r="AC56" s="76"/>
      <c r="AD56" s="76"/>
      <c r="AE56" s="91"/>
      <c r="AF56" s="91"/>
      <c r="AG56" s="89"/>
      <c r="AH56" s="1"/>
      <c r="AI56" s="1"/>
      <c r="AJ56" s="1"/>
      <c r="AK56" s="1"/>
      <c r="AL56" s="1"/>
      <c r="AM56" s="1"/>
    </row>
    <row r="57" spans="1:39" s="32" customFormat="1" ht="36">
      <c r="A57" s="84" t="s">
        <v>275</v>
      </c>
      <c r="B57" s="85" t="s">
        <v>88</v>
      </c>
      <c r="C57" s="86" t="s">
        <v>25</v>
      </c>
      <c r="D57" s="74">
        <v>0.35</v>
      </c>
      <c r="E57" s="86">
        <v>2024</v>
      </c>
      <c r="F57" s="86">
        <v>2024</v>
      </c>
      <c r="G57" s="77">
        <f t="shared" si="46"/>
        <v>0.44166507312407616</v>
      </c>
      <c r="H57" s="74">
        <f t="shared" si="47"/>
        <v>0.44166507312407616</v>
      </c>
      <c r="I57" s="75"/>
      <c r="J57" s="75"/>
      <c r="K57" s="75"/>
      <c r="L57" s="74"/>
      <c r="M57" s="74">
        <f>D57</f>
        <v>0.35</v>
      </c>
      <c r="N57" s="74">
        <f t="shared" si="57"/>
        <v>0.35</v>
      </c>
      <c r="O57" s="76"/>
      <c r="P57" s="75"/>
      <c r="Q57" s="94"/>
      <c r="R57" s="74"/>
      <c r="S57" s="74">
        <f>1.05*1.048*1.031*1.03*1.028*1.027*0.358</f>
        <v>0.44166507312407616</v>
      </c>
      <c r="T57" s="74">
        <f t="shared" ref="T57" si="60">SUM(O57:S57)</f>
        <v>0.44166507312407616</v>
      </c>
      <c r="U57" s="76"/>
      <c r="V57" s="75"/>
      <c r="W57" s="75"/>
      <c r="X57" s="74"/>
      <c r="Y57" s="74">
        <f t="shared" si="55"/>
        <v>0.44166507312407616</v>
      </c>
      <c r="Z57" s="76"/>
      <c r="AA57" s="76"/>
      <c r="AB57" s="76"/>
      <c r="AC57" s="76"/>
      <c r="AD57" s="76"/>
      <c r="AE57" s="91"/>
      <c r="AF57" s="91"/>
      <c r="AG57" s="89"/>
      <c r="AH57" s="1"/>
      <c r="AI57" s="1"/>
      <c r="AJ57" s="1"/>
      <c r="AK57" s="1"/>
      <c r="AL57" s="1"/>
      <c r="AM57" s="1"/>
    </row>
    <row r="58" spans="1:39" s="32" customFormat="1" ht="36">
      <c r="A58" s="84" t="s">
        <v>276</v>
      </c>
      <c r="B58" s="85" t="s">
        <v>113</v>
      </c>
      <c r="C58" s="86" t="s">
        <v>25</v>
      </c>
      <c r="D58" s="74">
        <f>I58</f>
        <v>0.54</v>
      </c>
      <c r="E58" s="86">
        <v>2020</v>
      </c>
      <c r="F58" s="86">
        <v>2020</v>
      </c>
      <c r="G58" s="77">
        <f t="shared" si="46"/>
        <v>0.67205829600000011</v>
      </c>
      <c r="H58" s="74">
        <f t="shared" si="47"/>
        <v>0.67205829600000011</v>
      </c>
      <c r="I58" s="74">
        <v>0.54</v>
      </c>
      <c r="J58" s="75"/>
      <c r="K58" s="75"/>
      <c r="L58" s="74"/>
      <c r="M58" s="75"/>
      <c r="N58" s="74">
        <f t="shared" si="57"/>
        <v>0.54</v>
      </c>
      <c r="O58" s="74">
        <f>1.05*1.048*I58*1.131</f>
        <v>0.67205829600000011</v>
      </c>
      <c r="P58" s="75"/>
      <c r="Q58" s="94"/>
      <c r="R58" s="74"/>
      <c r="S58" s="95"/>
      <c r="T58" s="74">
        <f t="shared" ref="T58" si="61">SUM(O58:S58)</f>
        <v>0.67205829600000011</v>
      </c>
      <c r="U58" s="74">
        <f>O58</f>
        <v>0.67205829600000011</v>
      </c>
      <c r="V58" s="75"/>
      <c r="W58" s="75"/>
      <c r="X58" s="74"/>
      <c r="Y58" s="75"/>
      <c r="Z58" s="76"/>
      <c r="AA58" s="76"/>
      <c r="AB58" s="76"/>
      <c r="AC58" s="76"/>
      <c r="AD58" s="76"/>
      <c r="AE58" s="91"/>
      <c r="AF58" s="91"/>
      <c r="AG58" s="89"/>
      <c r="AH58" s="1"/>
      <c r="AI58" s="1"/>
      <c r="AJ58" s="1"/>
      <c r="AK58" s="1"/>
      <c r="AL58" s="1"/>
      <c r="AM58" s="1"/>
    </row>
    <row r="59" spans="1:39" s="32" customFormat="1" ht="36">
      <c r="A59" s="84" t="s">
        <v>277</v>
      </c>
      <c r="B59" s="85" t="s">
        <v>130</v>
      </c>
      <c r="C59" s="86" t="s">
        <v>25</v>
      </c>
      <c r="D59" s="74">
        <f>I59</f>
        <v>0.65</v>
      </c>
      <c r="E59" s="86">
        <v>2020</v>
      </c>
      <c r="F59" s="86">
        <v>2020</v>
      </c>
      <c r="G59" s="77">
        <f t="shared" ref="G59" si="62">T59</f>
        <v>0.80895906000000006</v>
      </c>
      <c r="H59" s="74">
        <f t="shared" ref="H59" si="63">T59</f>
        <v>0.80895906000000006</v>
      </c>
      <c r="I59" s="74">
        <v>0.65</v>
      </c>
      <c r="J59" s="75"/>
      <c r="K59" s="75"/>
      <c r="L59" s="74"/>
      <c r="M59" s="75"/>
      <c r="N59" s="74">
        <f t="shared" si="57"/>
        <v>0.65</v>
      </c>
      <c r="O59" s="74">
        <f>1.05*1.048*I59*1.131</f>
        <v>0.80895906000000006</v>
      </c>
      <c r="P59" s="75"/>
      <c r="Q59" s="94"/>
      <c r="R59" s="74"/>
      <c r="S59" s="95"/>
      <c r="T59" s="74">
        <f t="shared" ref="T59" si="64">SUM(O59:S59)</f>
        <v>0.80895906000000006</v>
      </c>
      <c r="U59" s="74">
        <f>O59</f>
        <v>0.80895906000000006</v>
      </c>
      <c r="V59" s="75"/>
      <c r="W59" s="75"/>
      <c r="X59" s="74"/>
      <c r="Y59" s="75"/>
      <c r="Z59" s="76"/>
      <c r="AA59" s="76"/>
      <c r="AB59" s="76"/>
      <c r="AC59" s="76"/>
      <c r="AD59" s="76"/>
      <c r="AE59" s="91"/>
      <c r="AF59" s="91"/>
      <c r="AG59" s="89"/>
      <c r="AH59" s="1"/>
      <c r="AI59" s="1"/>
      <c r="AJ59" s="1"/>
      <c r="AK59" s="1"/>
      <c r="AL59" s="1"/>
      <c r="AM59" s="1"/>
    </row>
    <row r="60" spans="1:39" s="30" customFormat="1" ht="36">
      <c r="A60" s="84" t="s">
        <v>278</v>
      </c>
      <c r="B60" s="93" t="s">
        <v>160</v>
      </c>
      <c r="C60" s="86" t="s">
        <v>25</v>
      </c>
      <c r="D60" s="74">
        <f>N60</f>
        <v>3</v>
      </c>
      <c r="E60" s="86">
        <v>2020</v>
      </c>
      <c r="F60" s="86">
        <v>2021</v>
      </c>
      <c r="G60" s="74">
        <f t="shared" ref="G60" si="65">H60</f>
        <v>4.2489712188000004</v>
      </c>
      <c r="H60" s="74">
        <f t="shared" ref="H60" si="66">T60</f>
        <v>4.2489712188000004</v>
      </c>
      <c r="I60" s="74"/>
      <c r="J60" s="74">
        <v>3</v>
      </c>
      <c r="K60" s="74"/>
      <c r="L60" s="74"/>
      <c r="M60" s="74"/>
      <c r="N60" s="74">
        <f>SUM(I60:M60)</f>
        <v>3</v>
      </c>
      <c r="O60" s="74">
        <f>1.05*1.048*0.06</f>
        <v>6.6023999999999999E-2</v>
      </c>
      <c r="P60" s="98">
        <f>1.05*1.048*1.031*1.229*J60</f>
        <v>4.1829472188000008</v>
      </c>
      <c r="Q60" s="74"/>
      <c r="R60" s="98"/>
      <c r="S60" s="74"/>
      <c r="T60" s="74">
        <f>SUM(O60:S60)</f>
        <v>4.2489712188000004</v>
      </c>
      <c r="U60" s="74">
        <f>O60</f>
        <v>6.6023999999999999E-2</v>
      </c>
      <c r="V60" s="74">
        <f>P60</f>
        <v>4.1829472188000008</v>
      </c>
      <c r="W60" s="74"/>
      <c r="X60" s="98"/>
      <c r="Y60" s="98"/>
      <c r="Z60" s="74"/>
      <c r="AA60" s="74"/>
      <c r="AB60" s="74"/>
      <c r="AC60" s="74"/>
      <c r="AD60" s="74"/>
      <c r="AE60" s="80"/>
      <c r="AF60" s="80"/>
      <c r="AG60" s="89"/>
      <c r="AH60" s="1"/>
      <c r="AI60" s="1"/>
      <c r="AJ60" s="1"/>
      <c r="AK60" s="1"/>
      <c r="AL60" s="1"/>
      <c r="AM60" s="1"/>
    </row>
    <row r="61" spans="1:39" s="134" customFormat="1" ht="34.799999999999997">
      <c r="A61" s="143" t="s">
        <v>31</v>
      </c>
      <c r="B61" s="137" t="s">
        <v>32</v>
      </c>
      <c r="C61" s="146"/>
      <c r="D61" s="147"/>
      <c r="E61" s="146"/>
      <c r="F61" s="146"/>
      <c r="G61" s="147"/>
      <c r="H61" s="147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9"/>
      <c r="AA61" s="149"/>
      <c r="AB61" s="149"/>
      <c r="AC61" s="149"/>
      <c r="AD61" s="149"/>
      <c r="AE61" s="149"/>
      <c r="AF61" s="149"/>
      <c r="AG61" s="150"/>
    </row>
    <row r="62" spans="1:39" s="134" customFormat="1" ht="34.799999999999997">
      <c r="A62" s="143" t="s">
        <v>33</v>
      </c>
      <c r="B62" s="137" t="s">
        <v>34</v>
      </c>
      <c r="C62" s="146"/>
      <c r="D62" s="147"/>
      <c r="E62" s="151"/>
      <c r="F62" s="151"/>
      <c r="G62" s="139">
        <f>SUM(G63:G65)</f>
        <v>72.773900844496708</v>
      </c>
      <c r="H62" s="139">
        <f>SUM(H63:H65)</f>
        <v>72.773900844496708</v>
      </c>
      <c r="I62" s="148"/>
      <c r="J62" s="148"/>
      <c r="K62" s="148"/>
      <c r="L62" s="148"/>
      <c r="M62" s="148"/>
      <c r="N62" s="148"/>
      <c r="O62" s="139">
        <f t="shared" ref="O62:Y62" si="67">SUM(O63:O65)</f>
        <v>13.831231883561202</v>
      </c>
      <c r="P62" s="139">
        <f t="shared" si="67"/>
        <v>14.471097370951599</v>
      </c>
      <c r="Q62" s="139">
        <f t="shared" si="67"/>
        <v>14.767380292080148</v>
      </c>
      <c r="R62" s="139">
        <f t="shared" si="67"/>
        <v>14.78949694025839</v>
      </c>
      <c r="S62" s="139">
        <f t="shared" si="67"/>
        <v>14.914694357645367</v>
      </c>
      <c r="T62" s="139">
        <f t="shared" si="67"/>
        <v>72.773900844496708</v>
      </c>
      <c r="U62" s="139">
        <f t="shared" si="67"/>
        <v>13.831231883561202</v>
      </c>
      <c r="V62" s="139">
        <f t="shared" si="67"/>
        <v>14.471097370951599</v>
      </c>
      <c r="W62" s="139">
        <f t="shared" si="67"/>
        <v>14.767380292080148</v>
      </c>
      <c r="X62" s="139">
        <f t="shared" si="67"/>
        <v>14.78949694025839</v>
      </c>
      <c r="Y62" s="139">
        <f t="shared" si="67"/>
        <v>14.914694357645367</v>
      </c>
      <c r="Z62" s="139"/>
      <c r="AA62" s="139"/>
      <c r="AB62" s="139"/>
      <c r="AC62" s="139"/>
      <c r="AD62" s="139"/>
      <c r="AE62" s="149"/>
      <c r="AF62" s="149"/>
      <c r="AG62" s="150"/>
    </row>
    <row r="63" spans="1:39" s="30" customFormat="1" ht="36">
      <c r="A63" s="84" t="s">
        <v>244</v>
      </c>
      <c r="B63" s="85" t="s">
        <v>35</v>
      </c>
      <c r="C63" s="86" t="s">
        <v>25</v>
      </c>
      <c r="D63" s="96"/>
      <c r="E63" s="86">
        <v>2020</v>
      </c>
      <c r="F63" s="86">
        <v>2024</v>
      </c>
      <c r="G63" s="78">
        <f>H63</f>
        <v>49.537829844496706</v>
      </c>
      <c r="H63" s="74">
        <f>T63</f>
        <v>49.537829844496706</v>
      </c>
      <c r="I63" s="74"/>
      <c r="J63" s="74"/>
      <c r="K63" s="74"/>
      <c r="L63" s="74"/>
      <c r="M63" s="74"/>
      <c r="N63" s="74"/>
      <c r="O63" s="74">
        <f>8.484788153*1.05*1.048</f>
        <v>9.3366608835612013</v>
      </c>
      <c r="P63" s="74">
        <f>8.484788153*1.05*1.048*1.031</f>
        <v>9.626097370951598</v>
      </c>
      <c r="Q63" s="74">
        <f>8.484788153*1.05*1.048*1.031*1.03</f>
        <v>9.9148802920801469</v>
      </c>
      <c r="R63" s="74">
        <f>8.484788153*1.05*1.048*1.031*1.03*1.028</f>
        <v>10.19249694025839</v>
      </c>
      <c r="S63" s="74">
        <f>8.484788153*1.05*1.048*1.031*1.03*1.028*1.027</f>
        <v>10.467694357645366</v>
      </c>
      <c r="T63" s="74">
        <f>SUM(O63:S63)</f>
        <v>49.537829844496706</v>
      </c>
      <c r="U63" s="74">
        <f>8.484788153*1.05*1.048</f>
        <v>9.3366608835612013</v>
      </c>
      <c r="V63" s="74">
        <f>8.484788153*1.05*1.048*1.031</f>
        <v>9.626097370951598</v>
      </c>
      <c r="W63" s="74">
        <f>8.484788153*1.05*1.048*1.031*1.03</f>
        <v>9.9148802920801469</v>
      </c>
      <c r="X63" s="74">
        <f>8.484788153*1.05*1.048*1.031*1.03*1.028</f>
        <v>10.19249694025839</v>
      </c>
      <c r="Y63" s="74">
        <f>8.484788153*1.05*1.048*1.031*1.03*1.028*1.027</f>
        <v>10.467694357645366</v>
      </c>
      <c r="Z63" s="74"/>
      <c r="AA63" s="77"/>
      <c r="AB63" s="77"/>
      <c r="AC63" s="77"/>
      <c r="AD63" s="77"/>
      <c r="AE63" s="80"/>
      <c r="AF63" s="80"/>
      <c r="AG63" s="87"/>
      <c r="AH63" s="1"/>
      <c r="AI63" s="1"/>
      <c r="AJ63" s="1"/>
      <c r="AK63" s="1"/>
      <c r="AL63" s="1"/>
      <c r="AM63" s="1"/>
    </row>
    <row r="64" spans="1:39" s="109" customFormat="1" ht="37.5" customHeight="1">
      <c r="A64" s="84" t="s">
        <v>279</v>
      </c>
      <c r="B64" s="93" t="s">
        <v>265</v>
      </c>
      <c r="C64" s="86" t="s">
        <v>29</v>
      </c>
      <c r="D64" s="96"/>
      <c r="E64" s="86">
        <v>2020</v>
      </c>
      <c r="F64" s="86">
        <v>2024</v>
      </c>
      <c r="G64" s="78">
        <f>H64</f>
        <v>13.236070999999999</v>
      </c>
      <c r="H64" s="74">
        <f>T64</f>
        <v>13.236070999999999</v>
      </c>
      <c r="I64" s="74"/>
      <c r="J64" s="74"/>
      <c r="K64" s="74"/>
      <c r="L64" s="74"/>
      <c r="M64" s="74"/>
      <c r="N64" s="74"/>
      <c r="O64" s="74">
        <v>2.4945710000000001</v>
      </c>
      <c r="P64" s="74">
        <v>2.8450000000000002</v>
      </c>
      <c r="Q64" s="74">
        <v>2.8525</v>
      </c>
      <c r="R64" s="74">
        <v>2.597</v>
      </c>
      <c r="S64" s="74">
        <v>2.4470000000000001</v>
      </c>
      <c r="T64" s="74">
        <f>SUM(O64:S64)</f>
        <v>13.236070999999999</v>
      </c>
      <c r="U64" s="74">
        <f>O64</f>
        <v>2.4945710000000001</v>
      </c>
      <c r="V64" s="74">
        <f>P64</f>
        <v>2.8450000000000002</v>
      </c>
      <c r="W64" s="74">
        <f>Q64</f>
        <v>2.8525</v>
      </c>
      <c r="X64" s="74">
        <f>R64</f>
        <v>2.597</v>
      </c>
      <c r="Y64" s="74">
        <f>S64</f>
        <v>2.4470000000000001</v>
      </c>
      <c r="Z64" s="75"/>
      <c r="AA64" s="75"/>
      <c r="AB64" s="75"/>
      <c r="AC64" s="75"/>
      <c r="AD64" s="75"/>
      <c r="AE64" s="80"/>
      <c r="AF64" s="80"/>
      <c r="AG64" s="87"/>
      <c r="AH64" s="115"/>
      <c r="AI64" s="115"/>
    </row>
    <row r="65" spans="1:39" s="109" customFormat="1" ht="53.25" customHeight="1">
      <c r="A65" s="84" t="s">
        <v>280</v>
      </c>
      <c r="B65" s="93" t="s">
        <v>266</v>
      </c>
      <c r="C65" s="86" t="s">
        <v>29</v>
      </c>
      <c r="D65" s="96"/>
      <c r="E65" s="86">
        <v>2020</v>
      </c>
      <c r="F65" s="86">
        <v>2024</v>
      </c>
      <c r="G65" s="78">
        <f>H65</f>
        <v>10</v>
      </c>
      <c r="H65" s="74">
        <f>T65</f>
        <v>10</v>
      </c>
      <c r="I65" s="74"/>
      <c r="J65" s="74"/>
      <c r="K65" s="74"/>
      <c r="L65" s="74"/>
      <c r="M65" s="74"/>
      <c r="N65" s="74"/>
      <c r="O65" s="74">
        <v>2</v>
      </c>
      <c r="P65" s="74">
        <v>2</v>
      </c>
      <c r="Q65" s="77">
        <v>2</v>
      </c>
      <c r="R65" s="74">
        <v>2</v>
      </c>
      <c r="S65" s="74">
        <v>2</v>
      </c>
      <c r="T65" s="74">
        <f>SUM(O65:S65)</f>
        <v>10</v>
      </c>
      <c r="U65" s="74">
        <f>O65</f>
        <v>2</v>
      </c>
      <c r="V65" s="74">
        <f>P65</f>
        <v>2</v>
      </c>
      <c r="W65" s="74">
        <f>Q65</f>
        <v>2</v>
      </c>
      <c r="X65" s="74">
        <f>S65</f>
        <v>2</v>
      </c>
      <c r="Y65" s="74">
        <f>S65</f>
        <v>2</v>
      </c>
      <c r="Z65" s="74"/>
      <c r="AA65" s="77"/>
      <c r="AB65" s="77"/>
      <c r="AC65" s="77"/>
      <c r="AD65" s="77"/>
      <c r="AE65" s="80"/>
      <c r="AF65" s="80"/>
      <c r="AG65" s="87"/>
      <c r="AH65" s="115"/>
      <c r="AI65" s="115"/>
    </row>
    <row r="66" spans="1:39" s="134" customFormat="1" ht="52.2">
      <c r="A66" s="165" t="s">
        <v>36</v>
      </c>
      <c r="B66" s="137" t="s">
        <v>37</v>
      </c>
      <c r="C66" s="146"/>
      <c r="D66" s="147"/>
      <c r="E66" s="146"/>
      <c r="F66" s="146"/>
      <c r="G66" s="147"/>
      <c r="H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9"/>
      <c r="AA66" s="149"/>
      <c r="AB66" s="149"/>
      <c r="AC66" s="149"/>
      <c r="AD66" s="149"/>
      <c r="AE66" s="149"/>
      <c r="AF66" s="149"/>
      <c r="AG66" s="150"/>
    </row>
    <row r="67" spans="1:39" s="28" customFormat="1" ht="18">
      <c r="A67" s="97" t="s">
        <v>38</v>
      </c>
      <c r="B67" s="90" t="s">
        <v>39</v>
      </c>
      <c r="C67" s="86"/>
      <c r="D67" s="74"/>
      <c r="E67" s="86"/>
      <c r="F67" s="86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80"/>
      <c r="AA67" s="80"/>
      <c r="AB67" s="80"/>
      <c r="AC67" s="80"/>
      <c r="AD67" s="80"/>
      <c r="AE67" s="80"/>
      <c r="AF67" s="80"/>
      <c r="AG67" s="87"/>
      <c r="AH67" s="1"/>
      <c r="AI67" s="1"/>
      <c r="AJ67" s="1"/>
      <c r="AK67" s="1"/>
      <c r="AL67" s="1"/>
      <c r="AM67" s="1"/>
    </row>
    <row r="68" spans="1:39" s="142" customFormat="1" ht="17.399999999999999">
      <c r="A68" s="143"/>
      <c r="B68" s="137" t="s">
        <v>40</v>
      </c>
      <c r="C68" s="137"/>
      <c r="D68" s="139">
        <f>SUM(D69:D81)</f>
        <v>117.84999999999998</v>
      </c>
      <c r="E68" s="137"/>
      <c r="F68" s="137"/>
      <c r="G68" s="139">
        <f t="shared" ref="G68:Y68" si="68">SUM(G69:G81)</f>
        <v>350.9017458150758</v>
      </c>
      <c r="H68" s="139">
        <f t="shared" si="68"/>
        <v>350.9017458150758</v>
      </c>
      <c r="I68" s="139">
        <f t="shared" si="68"/>
        <v>22.6</v>
      </c>
      <c r="J68" s="139">
        <f t="shared" si="68"/>
        <v>22.65</v>
      </c>
      <c r="K68" s="139">
        <f t="shared" si="68"/>
        <v>21.400000000000002</v>
      </c>
      <c r="L68" s="139">
        <f t="shared" si="68"/>
        <v>25.200000000000003</v>
      </c>
      <c r="M68" s="139">
        <f t="shared" si="68"/>
        <v>26</v>
      </c>
      <c r="N68" s="139">
        <f t="shared" si="68"/>
        <v>117.84999999999998</v>
      </c>
      <c r="O68" s="139">
        <f t="shared" si="68"/>
        <v>65.627599999999987</v>
      </c>
      <c r="P68" s="139">
        <f t="shared" si="68"/>
        <v>64.533127188500004</v>
      </c>
      <c r="Q68" s="139">
        <f t="shared" si="68"/>
        <v>63.053506427456</v>
      </c>
      <c r="R68" s="139">
        <f t="shared" si="68"/>
        <v>75.395310338462579</v>
      </c>
      <c r="S68" s="139">
        <f t="shared" si="68"/>
        <v>82.292201860657258</v>
      </c>
      <c r="T68" s="139">
        <f t="shared" si="68"/>
        <v>350.9017458150758</v>
      </c>
      <c r="U68" s="139">
        <f t="shared" si="68"/>
        <v>65.627599999999987</v>
      </c>
      <c r="V68" s="139">
        <f t="shared" si="68"/>
        <v>64.533127188500004</v>
      </c>
      <c r="W68" s="139">
        <f t="shared" si="68"/>
        <v>63.053506427456</v>
      </c>
      <c r="X68" s="139">
        <f t="shared" si="68"/>
        <v>75.395310338462579</v>
      </c>
      <c r="Y68" s="139">
        <f t="shared" si="68"/>
        <v>82.292201860657258</v>
      </c>
      <c r="Z68" s="139"/>
      <c r="AA68" s="139"/>
      <c r="AB68" s="139"/>
      <c r="AC68" s="139"/>
      <c r="AD68" s="139"/>
      <c r="AE68" s="140"/>
      <c r="AF68" s="140"/>
      <c r="AG68" s="141"/>
      <c r="AH68" s="134"/>
      <c r="AI68" s="134"/>
      <c r="AJ68" s="134"/>
      <c r="AK68" s="134"/>
      <c r="AL68" s="134"/>
      <c r="AM68" s="134"/>
    </row>
    <row r="69" spans="1:39" s="31" customFormat="1" ht="72">
      <c r="A69" s="84" t="s">
        <v>245</v>
      </c>
      <c r="B69" s="93" t="s">
        <v>131</v>
      </c>
      <c r="C69" s="86" t="s">
        <v>25</v>
      </c>
      <c r="D69" s="74">
        <f>N69</f>
        <v>85</v>
      </c>
      <c r="E69" s="86">
        <v>2020</v>
      </c>
      <c r="F69" s="86">
        <v>2024</v>
      </c>
      <c r="G69" s="78">
        <f>T69</f>
        <v>255.14785868495483</v>
      </c>
      <c r="H69" s="74">
        <f>G69</f>
        <v>255.14785868495483</v>
      </c>
      <c r="I69" s="74">
        <v>6</v>
      </c>
      <c r="J69" s="74">
        <v>12</v>
      </c>
      <c r="K69" s="74">
        <v>19</v>
      </c>
      <c r="L69" s="74">
        <v>23</v>
      </c>
      <c r="M69" s="74">
        <v>25</v>
      </c>
      <c r="N69" s="74">
        <f>SUM(I69:M69)</f>
        <v>85</v>
      </c>
      <c r="O69" s="74">
        <f>(1.05*1.048*9)+6.521</f>
        <v>16.424600000000002</v>
      </c>
      <c r="P69" s="74">
        <f>1.05*1.048*1.031*(9.3+1.39+7.588)+14.44412</f>
        <v>35.180737647200004</v>
      </c>
      <c r="Q69" s="74">
        <f>1.05*1.048*1.031*1.03*9.5+45.23549</f>
        <v>56.336693834000002</v>
      </c>
      <c r="R69" s="74">
        <f>1.05*1.048*1.031*1.03*1.028*9.6+57.59085</f>
        <v>69.123014252313595</v>
      </c>
      <c r="S69" s="74">
        <f>1.05*1.048*1.031*1.03*1.028*1.027*9.8+65.99254</f>
        <v>78.082812951441198</v>
      </c>
      <c r="T69" s="74">
        <f t="shared" ref="T69:T81" si="69">SUM(O69:S69)</f>
        <v>255.14785868495483</v>
      </c>
      <c r="U69" s="74">
        <f>O69</f>
        <v>16.424600000000002</v>
      </c>
      <c r="V69" s="74">
        <f>P69</f>
        <v>35.180737647200004</v>
      </c>
      <c r="W69" s="74">
        <f>Q69</f>
        <v>56.336693834000002</v>
      </c>
      <c r="X69" s="74">
        <f>R69</f>
        <v>69.123014252313595</v>
      </c>
      <c r="Y69" s="74">
        <f>S69</f>
        <v>78.082812951441198</v>
      </c>
      <c r="Z69" s="75"/>
      <c r="AA69" s="75"/>
      <c r="AB69" s="75"/>
      <c r="AC69" s="75"/>
      <c r="AD69" s="75"/>
      <c r="AE69" s="91"/>
      <c r="AF69" s="91"/>
      <c r="AG69" s="92"/>
      <c r="AH69" s="1"/>
      <c r="AI69" s="1"/>
      <c r="AJ69" s="1"/>
      <c r="AK69" s="1"/>
      <c r="AL69" s="1"/>
      <c r="AM69" s="1"/>
    </row>
    <row r="70" spans="1:39" s="30" customFormat="1" ht="54">
      <c r="A70" s="84" t="s">
        <v>246</v>
      </c>
      <c r="B70" s="93" t="s">
        <v>128</v>
      </c>
      <c r="C70" s="86" t="s">
        <v>25</v>
      </c>
      <c r="D70" s="74">
        <f>SUM(I70:M70)</f>
        <v>16</v>
      </c>
      <c r="E70" s="86">
        <v>2020</v>
      </c>
      <c r="F70" s="86">
        <v>2020</v>
      </c>
      <c r="G70" s="74">
        <f t="shared" ref="G70:G80" si="70">H70</f>
        <v>47.339207999999999</v>
      </c>
      <c r="H70" s="74">
        <f t="shared" ref="H70" si="71">T70</f>
        <v>47.339207999999999</v>
      </c>
      <c r="I70" s="74">
        <v>16</v>
      </c>
      <c r="J70" s="74"/>
      <c r="K70" s="74"/>
      <c r="L70" s="74"/>
      <c r="M70" s="74"/>
      <c r="N70" s="74">
        <f t="shared" ref="N70" si="72">SUM(I70:M70)</f>
        <v>16</v>
      </c>
      <c r="O70" s="74">
        <f>1.05*1.048*(45.863-2.843)</f>
        <v>47.339207999999999</v>
      </c>
      <c r="P70" s="74"/>
      <c r="Q70" s="74"/>
      <c r="R70" s="74"/>
      <c r="S70" s="74"/>
      <c r="T70" s="74">
        <f t="shared" si="69"/>
        <v>47.339207999999999</v>
      </c>
      <c r="U70" s="74">
        <f>O70</f>
        <v>47.339207999999999</v>
      </c>
      <c r="V70" s="74"/>
      <c r="W70" s="74"/>
      <c r="X70" s="74"/>
      <c r="Y70" s="74"/>
      <c r="Z70" s="74"/>
      <c r="AA70" s="74"/>
      <c r="AB70" s="74"/>
      <c r="AC70" s="74"/>
      <c r="AD70" s="74"/>
      <c r="AE70" s="80"/>
      <c r="AF70" s="80"/>
      <c r="AG70" s="87"/>
      <c r="AH70" s="1"/>
      <c r="AI70" s="1"/>
      <c r="AJ70" s="1"/>
      <c r="AK70" s="1"/>
      <c r="AL70" s="1"/>
      <c r="AM70" s="1"/>
    </row>
    <row r="71" spans="1:39" s="30" customFormat="1" ht="36">
      <c r="A71" s="84" t="s">
        <v>247</v>
      </c>
      <c r="B71" s="93" t="s">
        <v>89</v>
      </c>
      <c r="C71" s="86" t="s">
        <v>25</v>
      </c>
      <c r="D71" s="74">
        <f t="shared" ref="D71:D75" si="73">N71</f>
        <v>1.5</v>
      </c>
      <c r="E71" s="86">
        <v>2021</v>
      </c>
      <c r="F71" s="86">
        <v>2021</v>
      </c>
      <c r="G71" s="74">
        <f t="shared" si="70"/>
        <v>4.1744383757999994</v>
      </c>
      <c r="H71" s="74">
        <f t="shared" ref="H71" si="74">T71</f>
        <v>4.1744383757999994</v>
      </c>
      <c r="I71" s="74"/>
      <c r="J71" s="74">
        <v>1.5</v>
      </c>
      <c r="K71" s="74"/>
      <c r="L71" s="80"/>
      <c r="M71" s="74"/>
      <c r="N71" s="74">
        <f t="shared" ref="N71" si="75">SUM(I71:M71)</f>
        <v>1.5</v>
      </c>
      <c r="O71" s="74"/>
      <c r="P71" s="74">
        <f>1.05*1.048*1.031*2.453*J71</f>
        <v>4.1744383757999994</v>
      </c>
      <c r="Q71" s="74"/>
      <c r="R71" s="74"/>
      <c r="S71" s="74"/>
      <c r="T71" s="74">
        <f t="shared" si="69"/>
        <v>4.1744383757999994</v>
      </c>
      <c r="U71" s="74"/>
      <c r="V71" s="98">
        <f>P71</f>
        <v>4.1744383757999994</v>
      </c>
      <c r="W71" s="74"/>
      <c r="X71" s="74"/>
      <c r="Y71" s="74"/>
      <c r="Z71" s="74"/>
      <c r="AA71" s="74"/>
      <c r="AB71" s="74"/>
      <c r="AC71" s="74"/>
      <c r="AD71" s="74"/>
      <c r="AE71" s="80"/>
      <c r="AF71" s="80"/>
      <c r="AG71" s="87"/>
      <c r="AH71" s="1"/>
      <c r="AI71" s="1"/>
      <c r="AJ71" s="1"/>
      <c r="AK71" s="1"/>
      <c r="AL71" s="1"/>
      <c r="AM71" s="1"/>
    </row>
    <row r="72" spans="1:39" s="30" customFormat="1" ht="36">
      <c r="A72" s="84" t="s">
        <v>248</v>
      </c>
      <c r="B72" s="93" t="s">
        <v>90</v>
      </c>
      <c r="C72" s="86" t="s">
        <v>25</v>
      </c>
      <c r="D72" s="74">
        <f t="shared" si="73"/>
        <v>0.8</v>
      </c>
      <c r="E72" s="86">
        <v>2022</v>
      </c>
      <c r="F72" s="86">
        <v>2022</v>
      </c>
      <c r="G72" s="74">
        <f t="shared" si="70"/>
        <v>2.2931581477727998</v>
      </c>
      <c r="H72" s="74">
        <f t="shared" ref="H72" si="76">T72</f>
        <v>2.2931581477727998</v>
      </c>
      <c r="I72" s="74"/>
      <c r="J72" s="74"/>
      <c r="K72" s="74">
        <v>0.8</v>
      </c>
      <c r="L72" s="74"/>
      <c r="M72" s="74"/>
      <c r="N72" s="74">
        <f t="shared" ref="N72" si="77">SUM(I72:M72)</f>
        <v>0.8</v>
      </c>
      <c r="O72" s="74"/>
      <c r="P72" s="74"/>
      <c r="Q72" s="74">
        <f>1.05*1.048*1.031*1.03*2.453*K72</f>
        <v>2.2931581477727998</v>
      </c>
      <c r="R72" s="74"/>
      <c r="S72" s="74"/>
      <c r="T72" s="74">
        <f t="shared" si="69"/>
        <v>2.2931581477727998</v>
      </c>
      <c r="U72" s="74"/>
      <c r="V72" s="74"/>
      <c r="W72" s="74">
        <f>Q72</f>
        <v>2.2931581477727998</v>
      </c>
      <c r="X72" s="74"/>
      <c r="Y72" s="74"/>
      <c r="Z72" s="74"/>
      <c r="AA72" s="74"/>
      <c r="AB72" s="74"/>
      <c r="AC72" s="74"/>
      <c r="AD72" s="74"/>
      <c r="AE72" s="80"/>
      <c r="AF72" s="80"/>
      <c r="AG72" s="87"/>
      <c r="AH72" s="1"/>
      <c r="AI72" s="1"/>
      <c r="AJ72" s="1"/>
      <c r="AK72" s="1"/>
      <c r="AL72" s="1"/>
      <c r="AM72" s="1"/>
    </row>
    <row r="73" spans="1:39" s="30" customFormat="1" ht="36">
      <c r="A73" s="84" t="s">
        <v>249</v>
      </c>
      <c r="B73" s="93" t="s">
        <v>91</v>
      </c>
      <c r="C73" s="86" t="s">
        <v>25</v>
      </c>
      <c r="D73" s="74">
        <f t="shared" si="73"/>
        <v>1</v>
      </c>
      <c r="E73" s="86">
        <v>2023</v>
      </c>
      <c r="F73" s="86">
        <v>2023</v>
      </c>
      <c r="G73" s="74">
        <f t="shared" si="70"/>
        <v>2.9467082198880474</v>
      </c>
      <c r="H73" s="74">
        <f t="shared" ref="H73" si="78">T73</f>
        <v>2.9467082198880474</v>
      </c>
      <c r="I73" s="74"/>
      <c r="J73" s="74"/>
      <c r="K73" s="74"/>
      <c r="L73" s="74">
        <v>1</v>
      </c>
      <c r="M73" s="74"/>
      <c r="N73" s="74">
        <f t="shared" ref="N73" si="79">SUM(I73:M73)</f>
        <v>1</v>
      </c>
      <c r="O73" s="74"/>
      <c r="P73" s="74"/>
      <c r="Q73" s="74"/>
      <c r="R73" s="74">
        <f>1.05*1.048*1.031*1.03*1.028*2.453*L73</f>
        <v>2.9467082198880474</v>
      </c>
      <c r="S73" s="74"/>
      <c r="T73" s="74">
        <f t="shared" si="69"/>
        <v>2.9467082198880474</v>
      </c>
      <c r="U73" s="74"/>
      <c r="V73" s="74"/>
      <c r="W73" s="74"/>
      <c r="X73" s="74">
        <f>R73</f>
        <v>2.9467082198880474</v>
      </c>
      <c r="Y73" s="74"/>
      <c r="Z73" s="74"/>
      <c r="AA73" s="74"/>
      <c r="AB73" s="74"/>
      <c r="AC73" s="74"/>
      <c r="AD73" s="74"/>
      <c r="AE73" s="80"/>
      <c r="AF73" s="80"/>
      <c r="AG73" s="87"/>
      <c r="AH73" s="1"/>
      <c r="AI73" s="1"/>
      <c r="AJ73" s="1"/>
      <c r="AK73" s="1"/>
      <c r="AL73" s="1"/>
      <c r="AM73" s="1"/>
    </row>
    <row r="74" spans="1:39" s="30" customFormat="1" ht="36">
      <c r="A74" s="84" t="s">
        <v>250</v>
      </c>
      <c r="B74" s="93" t="s">
        <v>92</v>
      </c>
      <c r="C74" s="86" t="s">
        <v>25</v>
      </c>
      <c r="D74" s="74">
        <f t="shared" si="73"/>
        <v>0.6</v>
      </c>
      <c r="E74" s="86">
        <v>2023</v>
      </c>
      <c r="F74" s="86">
        <v>2023</v>
      </c>
      <c r="G74" s="74">
        <f t="shared" si="70"/>
        <v>1.8919956976451999</v>
      </c>
      <c r="H74" s="74">
        <f t="shared" ref="H74" si="80">T74</f>
        <v>1.8919956976451999</v>
      </c>
      <c r="I74" s="74"/>
      <c r="J74" s="74"/>
      <c r="K74" s="74"/>
      <c r="L74" s="74">
        <v>0.6</v>
      </c>
      <c r="M74" s="74"/>
      <c r="N74" s="74">
        <f t="shared" ref="N74" si="81">SUM(I74:M74)</f>
        <v>0.6</v>
      </c>
      <c r="O74" s="74"/>
      <c r="P74" s="74"/>
      <c r="Q74" s="74"/>
      <c r="R74" s="74">
        <f>1.05*1.048*1.031*1.03*1.028*1.575</f>
        <v>1.8919956976451999</v>
      </c>
      <c r="S74" s="74"/>
      <c r="T74" s="74">
        <f t="shared" si="69"/>
        <v>1.8919956976451999</v>
      </c>
      <c r="U74" s="74"/>
      <c r="V74" s="74"/>
      <c r="W74" s="74"/>
      <c r="X74" s="74">
        <f>R74</f>
        <v>1.8919956976451999</v>
      </c>
      <c r="Y74" s="74"/>
      <c r="Z74" s="74"/>
      <c r="AA74" s="74"/>
      <c r="AB74" s="74"/>
      <c r="AC74" s="74"/>
      <c r="AD74" s="74"/>
      <c r="AE74" s="80"/>
      <c r="AF74" s="80"/>
      <c r="AG74" s="87"/>
      <c r="AH74" s="1"/>
      <c r="AI74" s="1"/>
      <c r="AJ74" s="1"/>
      <c r="AK74" s="1"/>
      <c r="AL74" s="1"/>
      <c r="AM74" s="1"/>
    </row>
    <row r="75" spans="1:39" s="30" customFormat="1" ht="36">
      <c r="A75" s="84" t="s">
        <v>251</v>
      </c>
      <c r="B75" s="93" t="s">
        <v>93</v>
      </c>
      <c r="C75" s="86" t="s">
        <v>25</v>
      </c>
      <c r="D75" s="74">
        <f t="shared" si="73"/>
        <v>1</v>
      </c>
      <c r="E75" s="86">
        <v>2024</v>
      </c>
      <c r="F75" s="86">
        <v>2024</v>
      </c>
      <c r="G75" s="74">
        <f t="shared" si="70"/>
        <v>4.2093889092160559</v>
      </c>
      <c r="H75" s="74">
        <f t="shared" ref="H75" si="82">T75</f>
        <v>4.2093889092160559</v>
      </c>
      <c r="I75" s="74"/>
      <c r="J75" s="74"/>
      <c r="K75" s="74"/>
      <c r="L75" s="74"/>
      <c r="M75" s="74">
        <v>1</v>
      </c>
      <c r="N75" s="74">
        <f t="shared" ref="N75" si="83">SUM(I75:M75)</f>
        <v>1</v>
      </c>
      <c r="O75" s="74"/>
      <c r="P75" s="74"/>
      <c r="Q75" s="74"/>
      <c r="R75" s="74"/>
      <c r="S75" s="74">
        <f>1.05*1.048*1.031*1.03*1.028*1.027*3.412</f>
        <v>4.2093889092160559</v>
      </c>
      <c r="T75" s="74">
        <f t="shared" si="69"/>
        <v>4.2093889092160559</v>
      </c>
      <c r="U75" s="74"/>
      <c r="V75" s="74"/>
      <c r="W75" s="74"/>
      <c r="X75" s="74"/>
      <c r="Y75" s="74">
        <f t="shared" ref="Y75" si="84">S75</f>
        <v>4.2093889092160559</v>
      </c>
      <c r="Z75" s="74"/>
      <c r="AA75" s="74"/>
      <c r="AB75" s="74"/>
      <c r="AC75" s="74"/>
      <c r="AD75" s="74"/>
      <c r="AE75" s="80"/>
      <c r="AF75" s="80"/>
      <c r="AG75" s="87"/>
      <c r="AH75" s="1"/>
      <c r="AI75" s="1"/>
      <c r="AJ75" s="1"/>
      <c r="AK75" s="1"/>
      <c r="AL75" s="1"/>
      <c r="AM75" s="1"/>
    </row>
    <row r="76" spans="1:39" s="30" customFormat="1" ht="36">
      <c r="A76" s="84" t="s">
        <v>252</v>
      </c>
      <c r="B76" s="93" t="s">
        <v>94</v>
      </c>
      <c r="C76" s="86" t="s">
        <v>25</v>
      </c>
      <c r="D76" s="74">
        <f t="shared" ref="D76:D81" si="85">N76</f>
        <v>0.6</v>
      </c>
      <c r="E76" s="86">
        <v>2020</v>
      </c>
      <c r="F76" s="86">
        <v>2020</v>
      </c>
      <c r="G76" s="74">
        <f t="shared" si="70"/>
        <v>1.2530700000000001</v>
      </c>
      <c r="H76" s="74">
        <f t="shared" ref="H76" si="86">T76</f>
        <v>1.2530700000000001</v>
      </c>
      <c r="I76" s="74">
        <v>0.6</v>
      </c>
      <c r="J76" s="74"/>
      <c r="K76" s="74"/>
      <c r="L76" s="80"/>
      <c r="M76" s="74"/>
      <c r="N76" s="74">
        <f>SUM(I76:M76)</f>
        <v>0.6</v>
      </c>
      <c r="O76" s="74">
        <f>1.05*1.989*I76</f>
        <v>1.2530700000000001</v>
      </c>
      <c r="P76" s="74"/>
      <c r="Q76" s="74"/>
      <c r="R76" s="74"/>
      <c r="S76" s="74"/>
      <c r="T76" s="74">
        <f t="shared" si="69"/>
        <v>1.2530700000000001</v>
      </c>
      <c r="U76" s="74">
        <f>O76</f>
        <v>1.2530700000000001</v>
      </c>
      <c r="V76" s="74"/>
      <c r="W76" s="74"/>
      <c r="X76" s="74"/>
      <c r="Y76" s="74"/>
      <c r="Z76" s="74"/>
      <c r="AA76" s="74"/>
      <c r="AB76" s="74"/>
      <c r="AC76" s="74"/>
      <c r="AD76" s="74"/>
      <c r="AE76" s="80"/>
      <c r="AF76" s="80"/>
      <c r="AG76" s="87"/>
      <c r="AH76" s="1"/>
      <c r="AI76" s="1"/>
      <c r="AJ76" s="1"/>
      <c r="AK76" s="1"/>
      <c r="AL76" s="1"/>
      <c r="AM76" s="1"/>
    </row>
    <row r="77" spans="1:39" s="30" customFormat="1" ht="36">
      <c r="A77" s="84" t="s">
        <v>253</v>
      </c>
      <c r="B77" s="93" t="s">
        <v>95</v>
      </c>
      <c r="C77" s="86" t="s">
        <v>25</v>
      </c>
      <c r="D77" s="74">
        <f t="shared" si="85"/>
        <v>0.4</v>
      </c>
      <c r="E77" s="86">
        <v>2021</v>
      </c>
      <c r="F77" s="86">
        <v>2021</v>
      </c>
      <c r="G77" s="74">
        <f t="shared" si="70"/>
        <v>0.82706064000000001</v>
      </c>
      <c r="H77" s="74">
        <f t="shared" ref="H77" si="87">T77</f>
        <v>0.82706064000000001</v>
      </c>
      <c r="I77" s="74"/>
      <c r="J77" s="74">
        <v>0.4</v>
      </c>
      <c r="K77" s="74"/>
      <c r="L77" s="80"/>
      <c r="M77" s="74"/>
      <c r="N77" s="74">
        <f t="shared" ref="N77" si="88">SUM(I77:M77)</f>
        <v>0.4</v>
      </c>
      <c r="O77" s="74"/>
      <c r="P77" s="74">
        <f>1.05*1.048*1.879*J77</f>
        <v>0.82706064000000001</v>
      </c>
      <c r="Q77" s="74"/>
      <c r="R77" s="74"/>
      <c r="S77" s="74"/>
      <c r="T77" s="74">
        <f t="shared" si="69"/>
        <v>0.82706064000000001</v>
      </c>
      <c r="U77" s="74"/>
      <c r="V77" s="74">
        <f>P77</f>
        <v>0.82706064000000001</v>
      </c>
      <c r="W77" s="74"/>
      <c r="X77" s="74"/>
      <c r="Y77" s="74"/>
      <c r="Z77" s="74"/>
      <c r="AA77" s="74"/>
      <c r="AB77" s="74"/>
      <c r="AC77" s="74"/>
      <c r="AD77" s="74"/>
      <c r="AE77" s="80"/>
      <c r="AF77" s="80"/>
      <c r="AG77" s="87"/>
      <c r="AH77" s="1"/>
      <c r="AI77" s="1"/>
      <c r="AJ77" s="1"/>
      <c r="AK77" s="1"/>
      <c r="AL77" s="1"/>
      <c r="AM77" s="1"/>
    </row>
    <row r="78" spans="1:39" s="30" customFormat="1" ht="36">
      <c r="A78" s="84" t="s">
        <v>254</v>
      </c>
      <c r="B78" s="93" t="s">
        <v>96</v>
      </c>
      <c r="C78" s="86" t="s">
        <v>25</v>
      </c>
      <c r="D78" s="74">
        <f t="shared" si="85"/>
        <v>0.3</v>
      </c>
      <c r="E78" s="86">
        <v>2022</v>
      </c>
      <c r="F78" s="86">
        <v>2022</v>
      </c>
      <c r="G78" s="74">
        <f t="shared" si="70"/>
        <v>0.69727245555239992</v>
      </c>
      <c r="H78" s="74">
        <f t="shared" ref="H78:H79" si="89">T78</f>
        <v>0.69727245555239992</v>
      </c>
      <c r="I78" s="74"/>
      <c r="J78" s="74"/>
      <c r="K78" s="74">
        <v>0.3</v>
      </c>
      <c r="L78" s="80"/>
      <c r="M78" s="74"/>
      <c r="N78" s="74">
        <f t="shared" ref="N78:N79" si="90">SUM(I78:M78)</f>
        <v>0.3</v>
      </c>
      <c r="O78" s="74"/>
      <c r="P78" s="74"/>
      <c r="Q78" s="74">
        <f>1.05*1.048*1.031*1.03*1.989*K78</f>
        <v>0.69727245555239992</v>
      </c>
      <c r="R78" s="74"/>
      <c r="S78" s="74"/>
      <c r="T78" s="74">
        <f t="shared" si="69"/>
        <v>0.69727245555239992</v>
      </c>
      <c r="U78" s="74"/>
      <c r="V78" s="74"/>
      <c r="W78" s="74">
        <f>Q78</f>
        <v>0.69727245555239992</v>
      </c>
      <c r="X78" s="74"/>
      <c r="Y78" s="74"/>
      <c r="Z78" s="74"/>
      <c r="AA78" s="74"/>
      <c r="AB78" s="74"/>
      <c r="AC78" s="74"/>
      <c r="AD78" s="74"/>
      <c r="AE78" s="80"/>
      <c r="AF78" s="80"/>
      <c r="AG78" s="87"/>
      <c r="AH78" s="1"/>
      <c r="AI78" s="1"/>
      <c r="AJ78" s="1"/>
      <c r="AK78" s="1"/>
      <c r="AL78" s="1"/>
      <c r="AM78" s="1"/>
    </row>
    <row r="79" spans="1:39" s="30" customFormat="1" ht="36">
      <c r="A79" s="84" t="s">
        <v>255</v>
      </c>
      <c r="B79" s="93" t="s">
        <v>161</v>
      </c>
      <c r="C79" s="86" t="s">
        <v>25</v>
      </c>
      <c r="D79" s="74">
        <f t="shared" si="85"/>
        <v>1.3</v>
      </c>
      <c r="E79" s="86">
        <v>2022</v>
      </c>
      <c r="F79" s="86">
        <v>2022</v>
      </c>
      <c r="G79" s="74">
        <f t="shared" ref="G79" si="91">H79</f>
        <v>3.7263819901308</v>
      </c>
      <c r="H79" s="74">
        <f t="shared" si="89"/>
        <v>3.7263819901308</v>
      </c>
      <c r="I79" s="74"/>
      <c r="J79" s="74"/>
      <c r="K79" s="74">
        <v>1.3</v>
      </c>
      <c r="L79" s="74"/>
      <c r="M79" s="74"/>
      <c r="N79" s="74">
        <f t="shared" si="90"/>
        <v>1.3</v>
      </c>
      <c r="O79" s="74"/>
      <c r="P79" s="74"/>
      <c r="Q79" s="74">
        <f>1.05*1.048*1.031*1.03*2.453*K79</f>
        <v>3.7263819901308</v>
      </c>
      <c r="R79" s="74"/>
      <c r="S79" s="74"/>
      <c r="T79" s="74">
        <f t="shared" ref="T79" si="92">SUM(O79:S79)</f>
        <v>3.7263819901308</v>
      </c>
      <c r="U79" s="74"/>
      <c r="V79" s="74"/>
      <c r="W79" s="74">
        <f>Q79</f>
        <v>3.7263819901308</v>
      </c>
      <c r="X79" s="74"/>
      <c r="Y79" s="74"/>
      <c r="Z79" s="74"/>
      <c r="AA79" s="74"/>
      <c r="AB79" s="74"/>
      <c r="AC79" s="74"/>
      <c r="AD79" s="74"/>
      <c r="AE79" s="80"/>
      <c r="AF79" s="80"/>
      <c r="AG79" s="87"/>
      <c r="AH79" s="1"/>
      <c r="AI79" s="1"/>
      <c r="AJ79" s="1"/>
      <c r="AK79" s="1"/>
      <c r="AL79" s="1"/>
      <c r="AM79" s="1"/>
    </row>
    <row r="80" spans="1:39" s="30" customFormat="1" ht="36">
      <c r="A80" s="84" t="s">
        <v>256</v>
      </c>
      <c r="B80" s="93" t="s">
        <v>97</v>
      </c>
      <c r="C80" s="86" t="s">
        <v>25</v>
      </c>
      <c r="D80" s="74">
        <f t="shared" si="85"/>
        <v>0.6</v>
      </c>
      <c r="E80" s="86">
        <v>2023</v>
      </c>
      <c r="F80" s="86">
        <v>2023</v>
      </c>
      <c r="G80" s="74">
        <f t="shared" si="70"/>
        <v>1.4335921686157342</v>
      </c>
      <c r="H80" s="74">
        <f t="shared" ref="H80:H81" si="93">T80</f>
        <v>1.4335921686157342</v>
      </c>
      <c r="I80" s="74"/>
      <c r="J80" s="74"/>
      <c r="K80" s="74"/>
      <c r="L80" s="74">
        <v>0.6</v>
      </c>
      <c r="M80" s="74"/>
      <c r="N80" s="74">
        <f t="shared" ref="N80:N81" si="94">SUM(I80:M80)</f>
        <v>0.6</v>
      </c>
      <c r="O80" s="74"/>
      <c r="P80" s="74"/>
      <c r="Q80" s="74"/>
      <c r="R80" s="74">
        <f>1.05*1.048*1.031*1.03*1.028*1.989*L80</f>
        <v>1.4335921686157342</v>
      </c>
      <c r="S80" s="74"/>
      <c r="T80" s="74">
        <f t="shared" si="69"/>
        <v>1.4335921686157342</v>
      </c>
      <c r="U80" s="74"/>
      <c r="V80" s="74"/>
      <c r="W80" s="74"/>
      <c r="X80" s="74">
        <f>R80</f>
        <v>1.4335921686157342</v>
      </c>
      <c r="Y80" s="74"/>
      <c r="Z80" s="74"/>
      <c r="AA80" s="74"/>
      <c r="AB80" s="74"/>
      <c r="AC80" s="74"/>
      <c r="AD80" s="74"/>
      <c r="AE80" s="80"/>
      <c r="AF80" s="80"/>
      <c r="AG80" s="87"/>
      <c r="AH80" s="1"/>
      <c r="AI80" s="1"/>
      <c r="AJ80" s="1"/>
      <c r="AK80" s="1"/>
      <c r="AL80" s="1"/>
      <c r="AM80" s="1"/>
    </row>
    <row r="81" spans="1:39" s="30" customFormat="1" ht="36">
      <c r="A81" s="84" t="s">
        <v>257</v>
      </c>
      <c r="B81" s="93" t="s">
        <v>159</v>
      </c>
      <c r="C81" s="86" t="s">
        <v>25</v>
      </c>
      <c r="D81" s="74">
        <f t="shared" si="85"/>
        <v>8.75</v>
      </c>
      <c r="E81" s="86">
        <v>2020</v>
      </c>
      <c r="F81" s="86">
        <v>2021</v>
      </c>
      <c r="G81" s="74">
        <f t="shared" ref="G81" si="95">H81</f>
        <v>24.961612525499998</v>
      </c>
      <c r="H81" s="74">
        <f t="shared" si="93"/>
        <v>24.961612525499998</v>
      </c>
      <c r="I81" s="74"/>
      <c r="J81" s="74">
        <v>8.75</v>
      </c>
      <c r="K81" s="74"/>
      <c r="L81" s="74"/>
      <c r="M81" s="74"/>
      <c r="N81" s="74">
        <f t="shared" si="94"/>
        <v>8.75</v>
      </c>
      <c r="O81" s="74">
        <f>1.05*1.048*0.555</f>
        <v>0.6107220000000001</v>
      </c>
      <c r="P81" s="74">
        <f>1.05*1.048*1.031*2.453*J81</f>
        <v>24.350890525499999</v>
      </c>
      <c r="Q81" s="74"/>
      <c r="R81" s="74"/>
      <c r="S81" s="74"/>
      <c r="T81" s="74">
        <f t="shared" si="69"/>
        <v>24.961612525499998</v>
      </c>
      <c r="U81" s="74">
        <f>O81</f>
        <v>0.6107220000000001</v>
      </c>
      <c r="V81" s="74">
        <f>P81</f>
        <v>24.350890525499999</v>
      </c>
      <c r="W81" s="74"/>
      <c r="X81" s="74"/>
      <c r="Y81" s="74"/>
      <c r="Z81" s="74"/>
      <c r="AA81" s="74"/>
      <c r="AB81" s="74"/>
      <c r="AC81" s="74"/>
      <c r="AD81" s="74"/>
      <c r="AE81" s="80"/>
      <c r="AF81" s="80"/>
      <c r="AG81" s="87"/>
      <c r="AH81" s="1"/>
      <c r="AI81" s="1"/>
      <c r="AJ81" s="1"/>
      <c r="AK81" s="1"/>
      <c r="AL81" s="1"/>
      <c r="AM81" s="1"/>
    </row>
    <row r="82" spans="1:39" s="142" customFormat="1" ht="18">
      <c r="A82" s="135"/>
      <c r="B82" s="137" t="s">
        <v>41</v>
      </c>
      <c r="C82" s="137"/>
      <c r="D82" s="139">
        <f>SUM(D83:D83)</f>
        <v>10.408000000000001</v>
      </c>
      <c r="E82" s="137"/>
      <c r="F82" s="137"/>
      <c r="G82" s="139">
        <f t="shared" ref="G82:Y82" si="96">SUM(G83:G83)</f>
        <v>30.895</v>
      </c>
      <c r="H82" s="139">
        <f t="shared" si="96"/>
        <v>30.895</v>
      </c>
      <c r="I82" s="139">
        <f t="shared" si="96"/>
        <v>1.9550000000000001</v>
      </c>
      <c r="J82" s="139">
        <f t="shared" si="96"/>
        <v>1.9770000000000001</v>
      </c>
      <c r="K82" s="139">
        <f t="shared" si="96"/>
        <v>1.546</v>
      </c>
      <c r="L82" s="139">
        <f t="shared" si="96"/>
        <v>1.8680000000000001</v>
      </c>
      <c r="M82" s="139">
        <f t="shared" si="96"/>
        <v>3.0619999999999998</v>
      </c>
      <c r="N82" s="139">
        <f t="shared" si="96"/>
        <v>10.408000000000001</v>
      </c>
      <c r="O82" s="139">
        <f t="shared" si="96"/>
        <v>5.9</v>
      </c>
      <c r="P82" s="139">
        <f t="shared" si="96"/>
        <v>6.133</v>
      </c>
      <c r="Q82" s="139">
        <f t="shared" si="96"/>
        <v>5.976</v>
      </c>
      <c r="R82" s="139">
        <f t="shared" si="96"/>
        <v>6.0949999999999998</v>
      </c>
      <c r="S82" s="139">
        <f t="shared" si="96"/>
        <v>6.7910000000000004</v>
      </c>
      <c r="T82" s="139">
        <f t="shared" si="96"/>
        <v>30.895</v>
      </c>
      <c r="U82" s="139">
        <f t="shared" si="96"/>
        <v>5.9</v>
      </c>
      <c r="V82" s="139">
        <f t="shared" si="96"/>
        <v>6.133</v>
      </c>
      <c r="W82" s="139">
        <f t="shared" si="96"/>
        <v>5.976</v>
      </c>
      <c r="X82" s="139">
        <f t="shared" si="96"/>
        <v>6.0949999999999998</v>
      </c>
      <c r="Y82" s="139">
        <f t="shared" si="96"/>
        <v>6.7910000000000004</v>
      </c>
      <c r="Z82" s="139"/>
      <c r="AA82" s="139"/>
      <c r="AB82" s="139"/>
      <c r="AC82" s="139"/>
      <c r="AD82" s="139"/>
      <c r="AE82" s="140"/>
      <c r="AF82" s="140"/>
      <c r="AG82" s="153"/>
      <c r="AH82" s="134"/>
      <c r="AI82" s="134"/>
      <c r="AJ82" s="134"/>
      <c r="AK82" s="134"/>
      <c r="AL82" s="134"/>
      <c r="AM82" s="134"/>
    </row>
    <row r="83" spans="1:39" s="31" customFormat="1" ht="36">
      <c r="A83" s="84" t="s">
        <v>258</v>
      </c>
      <c r="B83" s="85" t="s">
        <v>66</v>
      </c>
      <c r="C83" s="86" t="s">
        <v>25</v>
      </c>
      <c r="D83" s="74">
        <f>N83</f>
        <v>10.408000000000001</v>
      </c>
      <c r="E83" s="86">
        <v>2020</v>
      </c>
      <c r="F83" s="86">
        <v>2024</v>
      </c>
      <c r="G83" s="74">
        <f t="shared" ref="G83" si="97">H83</f>
        <v>30.895</v>
      </c>
      <c r="H83" s="74">
        <f t="shared" ref="H83" si="98">T83</f>
        <v>30.895</v>
      </c>
      <c r="I83" s="74">
        <v>1.9550000000000001</v>
      </c>
      <c r="J83" s="74">
        <v>1.9770000000000001</v>
      </c>
      <c r="K83" s="74">
        <v>1.546</v>
      </c>
      <c r="L83" s="74">
        <v>1.8680000000000001</v>
      </c>
      <c r="M83" s="74">
        <v>3.0619999999999998</v>
      </c>
      <c r="N83" s="74">
        <f>SUM(I83:M83)</f>
        <v>10.408000000000001</v>
      </c>
      <c r="O83" s="74">
        <v>5.9</v>
      </c>
      <c r="P83" s="74">
        <v>6.133</v>
      </c>
      <c r="Q83" s="74">
        <v>5.976</v>
      </c>
      <c r="R83" s="74">
        <v>6.0949999999999998</v>
      </c>
      <c r="S83" s="74">
        <v>6.7910000000000004</v>
      </c>
      <c r="T83" s="74">
        <f>SUM(O83:S83)</f>
        <v>30.895</v>
      </c>
      <c r="U83" s="74">
        <f>O83</f>
        <v>5.9</v>
      </c>
      <c r="V83" s="74">
        <f>P83</f>
        <v>6.133</v>
      </c>
      <c r="W83" s="74">
        <f>Q83</f>
        <v>5.976</v>
      </c>
      <c r="X83" s="74">
        <f>R83</f>
        <v>6.0949999999999998</v>
      </c>
      <c r="Y83" s="74">
        <f>S83</f>
        <v>6.7910000000000004</v>
      </c>
      <c r="Z83" s="75"/>
      <c r="AA83" s="75"/>
      <c r="AB83" s="75"/>
      <c r="AC83" s="75"/>
      <c r="AD83" s="75"/>
      <c r="AE83" s="91"/>
      <c r="AF83" s="91"/>
      <c r="AG83" s="92"/>
      <c r="AH83" s="1"/>
      <c r="AI83" s="1"/>
      <c r="AJ83" s="1"/>
      <c r="AK83" s="1"/>
      <c r="AL83" s="1"/>
      <c r="AM83" s="1"/>
    </row>
    <row r="84" spans="1:39" s="142" customFormat="1" ht="17.399999999999999">
      <c r="A84" s="135"/>
      <c r="B84" s="137" t="s">
        <v>42</v>
      </c>
      <c r="C84" s="137"/>
      <c r="D84" s="152">
        <f>SUM(D85)</f>
        <v>2</v>
      </c>
      <c r="E84" s="137"/>
      <c r="F84" s="137"/>
      <c r="G84" s="152">
        <f t="shared" ref="G84:I84" si="99">SUM(G85)</f>
        <v>46.645000000000003</v>
      </c>
      <c r="H84" s="152">
        <f t="shared" si="99"/>
        <v>46.645000000000003</v>
      </c>
      <c r="I84" s="152">
        <f t="shared" si="99"/>
        <v>2</v>
      </c>
      <c r="J84" s="152"/>
      <c r="K84" s="152"/>
      <c r="L84" s="152"/>
      <c r="M84" s="152"/>
      <c r="N84" s="152">
        <f t="shared" ref="N84:T84" si="100">SUM(N85)</f>
        <v>2</v>
      </c>
      <c r="O84" s="152">
        <f t="shared" si="100"/>
        <v>46.645000000000003</v>
      </c>
      <c r="P84" s="152">
        <f t="shared" si="100"/>
        <v>0</v>
      </c>
      <c r="Q84" s="152">
        <f t="shared" si="100"/>
        <v>0</v>
      </c>
      <c r="R84" s="152">
        <f t="shared" si="100"/>
        <v>0</v>
      </c>
      <c r="S84" s="152">
        <f t="shared" si="100"/>
        <v>0</v>
      </c>
      <c r="T84" s="152">
        <f t="shared" si="100"/>
        <v>46.645000000000003</v>
      </c>
      <c r="U84" s="152">
        <f>SUM(U85)</f>
        <v>46.645000000000003</v>
      </c>
      <c r="V84" s="152">
        <f>SUM(V85)</f>
        <v>0</v>
      </c>
      <c r="W84" s="152">
        <f>SUM(W85)</f>
        <v>0</v>
      </c>
      <c r="X84" s="152">
        <f>SUM(X85)</f>
        <v>0</v>
      </c>
      <c r="Y84" s="152">
        <f>SUM(Y85)</f>
        <v>0</v>
      </c>
      <c r="Z84" s="138"/>
      <c r="AA84" s="138"/>
      <c r="AB84" s="138"/>
      <c r="AC84" s="138"/>
      <c r="AD84" s="138"/>
      <c r="AE84" s="140"/>
      <c r="AF84" s="140"/>
      <c r="AG84" s="141"/>
      <c r="AH84" s="134"/>
      <c r="AI84" s="134"/>
      <c r="AJ84" s="134"/>
      <c r="AK84" s="134"/>
      <c r="AL84" s="134"/>
      <c r="AM84" s="134"/>
    </row>
    <row r="85" spans="1:39" s="30" customFormat="1" ht="36">
      <c r="A85" s="84" t="s">
        <v>259</v>
      </c>
      <c r="B85" s="93" t="s">
        <v>123</v>
      </c>
      <c r="C85" s="86" t="s">
        <v>25</v>
      </c>
      <c r="D85" s="77">
        <f>N85</f>
        <v>2</v>
      </c>
      <c r="E85" s="86">
        <v>2020</v>
      </c>
      <c r="F85" s="86">
        <v>2020</v>
      </c>
      <c r="G85" s="74">
        <f>T85</f>
        <v>46.645000000000003</v>
      </c>
      <c r="H85" s="74">
        <f>T85</f>
        <v>46.645000000000003</v>
      </c>
      <c r="I85" s="77">
        <v>2</v>
      </c>
      <c r="J85" s="74"/>
      <c r="K85" s="74"/>
      <c r="L85" s="74"/>
      <c r="M85" s="77"/>
      <c r="N85" s="74">
        <f>SUM(I85:M85)</f>
        <v>2</v>
      </c>
      <c r="O85" s="117">
        <v>46.645000000000003</v>
      </c>
      <c r="P85" s="74"/>
      <c r="Q85" s="74"/>
      <c r="R85" s="74"/>
      <c r="S85" s="74"/>
      <c r="T85" s="74">
        <f>SUM(O85:S85)</f>
        <v>46.645000000000003</v>
      </c>
      <c r="U85" s="117">
        <f>O85</f>
        <v>46.645000000000003</v>
      </c>
      <c r="V85" s="74"/>
      <c r="W85" s="74"/>
      <c r="X85" s="74"/>
      <c r="Y85" s="74"/>
      <c r="Z85" s="77"/>
      <c r="AA85" s="77"/>
      <c r="AB85" s="77"/>
      <c r="AC85" s="77"/>
      <c r="AD85" s="77"/>
      <c r="AE85" s="80"/>
      <c r="AF85" s="80"/>
      <c r="AG85" s="87"/>
      <c r="AH85" s="1"/>
      <c r="AI85" s="1"/>
      <c r="AJ85" s="1"/>
      <c r="AK85" s="1"/>
      <c r="AL85" s="1"/>
      <c r="AM85" s="1"/>
    </row>
    <row r="86" spans="1:39" s="142" customFormat="1" ht="17.399999999999999">
      <c r="A86" s="135"/>
      <c r="B86" s="166" t="s">
        <v>22</v>
      </c>
      <c r="C86" s="137"/>
      <c r="D86" s="152">
        <f>D87</f>
        <v>6.3</v>
      </c>
      <c r="E86" s="137"/>
      <c r="F86" s="137"/>
      <c r="G86" s="152">
        <f t="shared" ref="G86:Y86" si="101">G87</f>
        <v>49.855692841571567</v>
      </c>
      <c r="H86" s="152">
        <f t="shared" si="101"/>
        <v>49.855692841571567</v>
      </c>
      <c r="I86" s="152">
        <f t="shared" si="101"/>
        <v>0</v>
      </c>
      <c r="J86" s="152">
        <f t="shared" si="101"/>
        <v>2.52</v>
      </c>
      <c r="K86" s="152">
        <f t="shared" si="101"/>
        <v>2.52</v>
      </c>
      <c r="L86" s="152">
        <f t="shared" si="101"/>
        <v>1.26</v>
      </c>
      <c r="M86" s="152">
        <f t="shared" si="101"/>
        <v>0</v>
      </c>
      <c r="N86" s="152">
        <f t="shared" si="101"/>
        <v>6.3</v>
      </c>
      <c r="O86" s="152"/>
      <c r="P86" s="152">
        <f t="shared" si="101"/>
        <v>28.013380180799999</v>
      </c>
      <c r="Q86" s="152">
        <f t="shared" si="101"/>
        <v>14.426890793111999</v>
      </c>
      <c r="R86" s="152">
        <f t="shared" si="101"/>
        <v>7.4154218676595676</v>
      </c>
      <c r="S86" s="152"/>
      <c r="T86" s="152">
        <f t="shared" si="101"/>
        <v>49.855692841571567</v>
      </c>
      <c r="U86" s="152">
        <f t="shared" si="101"/>
        <v>0</v>
      </c>
      <c r="V86" s="152">
        <f t="shared" si="101"/>
        <v>28.013380180799999</v>
      </c>
      <c r="W86" s="152">
        <f t="shared" si="101"/>
        <v>14.426890793111999</v>
      </c>
      <c r="X86" s="152">
        <f t="shared" si="101"/>
        <v>7.4154218676595676</v>
      </c>
      <c r="Y86" s="152">
        <f t="shared" si="101"/>
        <v>0</v>
      </c>
      <c r="Z86" s="138"/>
      <c r="AA86" s="138"/>
      <c r="AB86" s="138"/>
      <c r="AC86" s="138"/>
      <c r="AD86" s="138"/>
      <c r="AE86" s="140"/>
      <c r="AF86" s="140"/>
      <c r="AG86" s="141"/>
      <c r="AH86" s="134"/>
      <c r="AI86" s="134"/>
      <c r="AJ86" s="134"/>
      <c r="AK86" s="134"/>
      <c r="AL86" s="134"/>
      <c r="AM86" s="134"/>
    </row>
    <row r="87" spans="1:39" s="30" customFormat="1" ht="34.799999999999997">
      <c r="A87" s="84" t="s">
        <v>288</v>
      </c>
      <c r="B87" s="73" t="s">
        <v>122</v>
      </c>
      <c r="C87" s="86" t="s">
        <v>25</v>
      </c>
      <c r="D87" s="78">
        <f>SUM(D88:D92)</f>
        <v>6.3</v>
      </c>
      <c r="E87" s="86"/>
      <c r="F87" s="86"/>
      <c r="G87" s="78">
        <f t="shared" ref="G87:Y87" si="102">SUM(G88:G92)</f>
        <v>49.855692841571567</v>
      </c>
      <c r="H87" s="78">
        <f t="shared" si="102"/>
        <v>49.855692841571567</v>
      </c>
      <c r="I87" s="78">
        <f t="shared" si="102"/>
        <v>0</v>
      </c>
      <c r="J87" s="78">
        <f t="shared" si="102"/>
        <v>2.52</v>
      </c>
      <c r="K87" s="78">
        <f t="shared" si="102"/>
        <v>2.52</v>
      </c>
      <c r="L87" s="78">
        <f t="shared" si="102"/>
        <v>1.26</v>
      </c>
      <c r="M87" s="78">
        <f t="shared" si="102"/>
        <v>0</v>
      </c>
      <c r="N87" s="78">
        <f t="shared" si="102"/>
        <v>6.3</v>
      </c>
      <c r="O87" s="78"/>
      <c r="P87" s="78">
        <f t="shared" si="102"/>
        <v>28.013380180799999</v>
      </c>
      <c r="Q87" s="78">
        <f t="shared" si="102"/>
        <v>14.426890793111999</v>
      </c>
      <c r="R87" s="78">
        <f t="shared" si="102"/>
        <v>7.4154218676595676</v>
      </c>
      <c r="S87" s="78"/>
      <c r="T87" s="78">
        <f t="shared" si="102"/>
        <v>49.855692841571567</v>
      </c>
      <c r="U87" s="74">
        <f t="shared" si="102"/>
        <v>0</v>
      </c>
      <c r="V87" s="74">
        <f t="shared" si="102"/>
        <v>28.013380180799999</v>
      </c>
      <c r="W87" s="74">
        <f t="shared" si="102"/>
        <v>14.426890793111999</v>
      </c>
      <c r="X87" s="74">
        <f t="shared" si="102"/>
        <v>7.4154218676595676</v>
      </c>
      <c r="Y87" s="74">
        <f t="shared" si="102"/>
        <v>0</v>
      </c>
      <c r="Z87" s="77"/>
      <c r="AA87" s="77"/>
      <c r="AB87" s="77"/>
      <c r="AC87" s="77"/>
      <c r="AD87" s="77"/>
      <c r="AE87" s="80"/>
      <c r="AF87" s="80"/>
      <c r="AG87" s="87"/>
      <c r="AH87" s="1"/>
      <c r="AI87" s="1"/>
      <c r="AJ87" s="1"/>
      <c r="AK87" s="1"/>
      <c r="AL87" s="1"/>
      <c r="AM87" s="1"/>
    </row>
    <row r="88" spans="1:39" s="30" customFormat="1" ht="36">
      <c r="A88" s="84" t="s">
        <v>289</v>
      </c>
      <c r="B88" s="93" t="s">
        <v>158</v>
      </c>
      <c r="C88" s="86" t="s">
        <v>25</v>
      </c>
      <c r="D88" s="78">
        <f t="shared" ref="D88:D92" si="103">N88</f>
        <v>1.26</v>
      </c>
      <c r="E88" s="86">
        <v>2021</v>
      </c>
      <c r="F88" s="86">
        <v>2021</v>
      </c>
      <c r="G88" s="74">
        <f t="shared" ref="G88:G91" si="104">T88</f>
        <v>7.0033450451999997</v>
      </c>
      <c r="H88" s="74">
        <f t="shared" ref="H88:H91" si="105">T88</f>
        <v>7.0033450451999997</v>
      </c>
      <c r="I88" s="80"/>
      <c r="J88" s="78">
        <v>1.26</v>
      </c>
      <c r="K88" s="78"/>
      <c r="L88" s="78"/>
      <c r="M88" s="74"/>
      <c r="N88" s="74">
        <f>SUM(I88:M88)</f>
        <v>1.26</v>
      </c>
      <c r="O88" s="74"/>
      <c r="P88" s="74">
        <f>1.05*1.048*1.031*6.173</f>
        <v>7.0033450451999997</v>
      </c>
      <c r="Q88" s="74"/>
      <c r="R88" s="74"/>
      <c r="S88" s="74"/>
      <c r="T88" s="74">
        <f t="shared" ref="T88:T92" si="106">SUM(O88:S88)</f>
        <v>7.0033450451999997</v>
      </c>
      <c r="U88" s="77"/>
      <c r="V88" s="117">
        <f t="shared" ref="V88:X91" si="107">P88</f>
        <v>7.0033450451999997</v>
      </c>
      <c r="W88" s="77"/>
      <c r="X88" s="77"/>
      <c r="Y88" s="74"/>
      <c r="Z88" s="77"/>
      <c r="AA88" s="77"/>
      <c r="AB88" s="77"/>
      <c r="AC88" s="77"/>
      <c r="AD88" s="77"/>
      <c r="AE88" s="80"/>
      <c r="AF88" s="80"/>
      <c r="AG88" s="87"/>
      <c r="AH88" s="1"/>
      <c r="AI88" s="1"/>
      <c r="AJ88" s="1"/>
      <c r="AK88" s="1"/>
      <c r="AL88" s="1"/>
      <c r="AM88" s="1"/>
    </row>
    <row r="89" spans="1:39" s="30" customFormat="1" ht="36">
      <c r="A89" s="84" t="s">
        <v>290</v>
      </c>
      <c r="B89" s="93" t="s">
        <v>157</v>
      </c>
      <c r="C89" s="86" t="s">
        <v>25</v>
      </c>
      <c r="D89" s="78">
        <f t="shared" si="103"/>
        <v>1.26</v>
      </c>
      <c r="E89" s="86">
        <v>2022</v>
      </c>
      <c r="F89" s="86">
        <v>2022</v>
      </c>
      <c r="G89" s="74">
        <f t="shared" si="104"/>
        <v>7.2134453965559997</v>
      </c>
      <c r="H89" s="74">
        <f t="shared" si="105"/>
        <v>7.2134453965559997</v>
      </c>
      <c r="I89" s="80"/>
      <c r="J89" s="98"/>
      <c r="K89" s="78">
        <v>1.26</v>
      </c>
      <c r="L89" s="78"/>
      <c r="M89" s="74"/>
      <c r="N89" s="74">
        <f t="shared" ref="N89:N91" si="108">SUM(I89:M89)</f>
        <v>1.26</v>
      </c>
      <c r="O89" s="74"/>
      <c r="P89" s="74"/>
      <c r="Q89" s="74">
        <f>1.05*1.048*1.031*1.03*6.173</f>
        <v>7.2134453965559997</v>
      </c>
      <c r="R89" s="74"/>
      <c r="S89" s="74"/>
      <c r="T89" s="74">
        <f t="shared" si="106"/>
        <v>7.2134453965559997</v>
      </c>
      <c r="U89" s="77"/>
      <c r="V89" s="117"/>
      <c r="W89" s="77">
        <f>Q89</f>
        <v>7.2134453965559997</v>
      </c>
      <c r="X89" s="77"/>
      <c r="Y89" s="74"/>
      <c r="Z89" s="77"/>
      <c r="AA89" s="77"/>
      <c r="AB89" s="77"/>
      <c r="AC89" s="77"/>
      <c r="AD89" s="77"/>
      <c r="AE89" s="80"/>
      <c r="AF89" s="80"/>
      <c r="AG89" s="87"/>
      <c r="AH89" s="1"/>
      <c r="AI89" s="1"/>
      <c r="AJ89" s="1"/>
      <c r="AK89" s="1"/>
      <c r="AL89" s="1"/>
      <c r="AM89" s="1"/>
    </row>
    <row r="90" spans="1:39" s="30" customFormat="1" ht="36">
      <c r="A90" s="84" t="s">
        <v>291</v>
      </c>
      <c r="B90" s="93" t="s">
        <v>156</v>
      </c>
      <c r="C90" s="86" t="s">
        <v>25</v>
      </c>
      <c r="D90" s="78">
        <f t="shared" si="103"/>
        <v>1.26</v>
      </c>
      <c r="E90" s="86">
        <v>2022</v>
      </c>
      <c r="F90" s="86">
        <v>2022</v>
      </c>
      <c r="G90" s="74">
        <f t="shared" si="104"/>
        <v>7.2134453965559997</v>
      </c>
      <c r="H90" s="74">
        <f t="shared" si="105"/>
        <v>7.2134453965559997</v>
      </c>
      <c r="I90" s="80"/>
      <c r="J90" s="78"/>
      <c r="K90" s="78">
        <v>1.26</v>
      </c>
      <c r="L90" s="78"/>
      <c r="M90" s="74"/>
      <c r="N90" s="74">
        <f t="shared" si="108"/>
        <v>1.26</v>
      </c>
      <c r="O90" s="74"/>
      <c r="P90" s="74"/>
      <c r="Q90" s="74">
        <f>1.05*1.048*1.031*1.03*6.173</f>
        <v>7.2134453965559997</v>
      </c>
      <c r="R90" s="74"/>
      <c r="S90" s="74"/>
      <c r="T90" s="74">
        <f t="shared" si="106"/>
        <v>7.2134453965559997</v>
      </c>
      <c r="U90" s="77"/>
      <c r="V90" s="77"/>
      <c r="W90" s="117">
        <f t="shared" si="107"/>
        <v>7.2134453965559997</v>
      </c>
      <c r="X90" s="77"/>
      <c r="Y90" s="74"/>
      <c r="Z90" s="77"/>
      <c r="AA90" s="77"/>
      <c r="AB90" s="77"/>
      <c r="AC90" s="77"/>
      <c r="AD90" s="77"/>
      <c r="AE90" s="80"/>
      <c r="AF90" s="80"/>
      <c r="AG90" s="87"/>
      <c r="AH90" s="1"/>
      <c r="AI90" s="1"/>
      <c r="AJ90" s="1"/>
      <c r="AK90" s="1"/>
      <c r="AL90" s="1"/>
      <c r="AM90" s="1"/>
    </row>
    <row r="91" spans="1:39" s="30" customFormat="1" ht="36">
      <c r="A91" s="84" t="s">
        <v>292</v>
      </c>
      <c r="B91" s="93" t="s">
        <v>155</v>
      </c>
      <c r="C91" s="86" t="s">
        <v>25</v>
      </c>
      <c r="D91" s="78">
        <f t="shared" si="103"/>
        <v>1.26</v>
      </c>
      <c r="E91" s="86">
        <v>2023</v>
      </c>
      <c r="F91" s="86">
        <v>2023</v>
      </c>
      <c r="G91" s="74">
        <f t="shared" si="104"/>
        <v>7.4154218676595676</v>
      </c>
      <c r="H91" s="74">
        <f t="shared" si="105"/>
        <v>7.4154218676595676</v>
      </c>
      <c r="I91" s="80"/>
      <c r="J91" s="78"/>
      <c r="K91" s="78"/>
      <c r="L91" s="78">
        <v>1.26</v>
      </c>
      <c r="M91" s="74"/>
      <c r="N91" s="74">
        <f t="shared" si="108"/>
        <v>1.26</v>
      </c>
      <c r="O91" s="74"/>
      <c r="P91" s="74"/>
      <c r="Q91" s="74"/>
      <c r="R91" s="74">
        <f>1.05*1.048*1.031*1.03*1.028*6.173</f>
        <v>7.4154218676595676</v>
      </c>
      <c r="S91" s="74"/>
      <c r="T91" s="74">
        <f t="shared" si="106"/>
        <v>7.4154218676595676</v>
      </c>
      <c r="U91" s="77"/>
      <c r="V91" s="77"/>
      <c r="W91" s="77"/>
      <c r="X91" s="117">
        <f t="shared" si="107"/>
        <v>7.4154218676595676</v>
      </c>
      <c r="Y91" s="74"/>
      <c r="Z91" s="77"/>
      <c r="AA91" s="77"/>
      <c r="AB91" s="77"/>
      <c r="AC91" s="77"/>
      <c r="AD91" s="77"/>
      <c r="AE91" s="80"/>
      <c r="AF91" s="80"/>
      <c r="AG91" s="87"/>
      <c r="AH91" s="1"/>
      <c r="AI91" s="1"/>
      <c r="AJ91" s="1"/>
      <c r="AK91" s="1"/>
      <c r="AL91" s="1"/>
      <c r="AM91" s="1"/>
    </row>
    <row r="92" spans="1:39" s="30" customFormat="1" ht="36">
      <c r="A92" s="84" t="s">
        <v>293</v>
      </c>
      <c r="B92" s="93" t="s">
        <v>209</v>
      </c>
      <c r="C92" s="86" t="s">
        <v>25</v>
      </c>
      <c r="D92" s="78">
        <f t="shared" si="103"/>
        <v>1.26</v>
      </c>
      <c r="E92" s="86">
        <v>2021</v>
      </c>
      <c r="F92" s="86">
        <v>2021</v>
      </c>
      <c r="G92" s="74">
        <f t="shared" ref="G92" si="109">T92</f>
        <v>21.010035135599999</v>
      </c>
      <c r="H92" s="74">
        <f t="shared" ref="H92" si="110">T92</f>
        <v>21.010035135599999</v>
      </c>
      <c r="I92" s="98"/>
      <c r="J92" s="78">
        <v>1.26</v>
      </c>
      <c r="K92" s="78"/>
      <c r="L92" s="98"/>
      <c r="M92" s="74"/>
      <c r="N92" s="74">
        <f>SUM(I92:M92)</f>
        <v>1.26</v>
      </c>
      <c r="O92" s="74"/>
      <c r="P92" s="74">
        <f>1.05*1.048*1.031*6.173*3</f>
        <v>21.010035135599999</v>
      </c>
      <c r="Q92" s="74"/>
      <c r="R92" s="74"/>
      <c r="S92" s="74"/>
      <c r="T92" s="74">
        <f t="shared" si="106"/>
        <v>21.010035135599999</v>
      </c>
      <c r="U92" s="77"/>
      <c r="V92" s="118">
        <f>P92</f>
        <v>21.010035135599999</v>
      </c>
      <c r="W92" s="77"/>
      <c r="X92" s="98"/>
      <c r="Y92" s="74"/>
      <c r="Z92" s="77"/>
      <c r="AA92" s="77"/>
      <c r="AB92" s="77"/>
      <c r="AC92" s="77"/>
      <c r="AD92" s="77"/>
      <c r="AE92" s="80"/>
      <c r="AF92" s="80"/>
      <c r="AG92" s="87"/>
      <c r="AH92" s="1"/>
      <c r="AI92" s="1"/>
      <c r="AJ92" s="1"/>
      <c r="AK92" s="1"/>
      <c r="AL92" s="1"/>
      <c r="AM92" s="1"/>
    </row>
    <row r="93" spans="1:39" s="157" customFormat="1" ht="34.799999999999997">
      <c r="A93" s="154"/>
      <c r="B93" s="136" t="s">
        <v>43</v>
      </c>
      <c r="C93" s="151"/>
      <c r="D93" s="155"/>
      <c r="E93" s="151"/>
      <c r="F93" s="151"/>
      <c r="G93" s="156"/>
      <c r="H93" s="148"/>
      <c r="I93" s="155"/>
      <c r="J93" s="155"/>
      <c r="K93" s="155"/>
      <c r="L93" s="155"/>
      <c r="M93" s="148"/>
      <c r="N93" s="155"/>
      <c r="O93" s="156"/>
      <c r="P93" s="156"/>
      <c r="Q93" s="156"/>
      <c r="R93" s="156"/>
      <c r="S93" s="148"/>
      <c r="T93" s="156"/>
      <c r="U93" s="156"/>
      <c r="V93" s="156"/>
      <c r="W93" s="156"/>
      <c r="X93" s="156"/>
      <c r="Y93" s="148"/>
      <c r="Z93" s="156"/>
      <c r="AA93" s="156"/>
      <c r="AB93" s="156"/>
      <c r="AC93" s="156"/>
      <c r="AD93" s="156"/>
      <c r="AE93" s="149"/>
      <c r="AF93" s="149"/>
      <c r="AG93" s="150"/>
      <c r="AH93" s="134"/>
      <c r="AI93" s="134"/>
      <c r="AJ93" s="134"/>
      <c r="AK93" s="134"/>
      <c r="AL93" s="134"/>
      <c r="AM93" s="134"/>
    </row>
    <row r="94" spans="1:39" s="142" customFormat="1" ht="17.399999999999999">
      <c r="A94" s="143" t="s">
        <v>44</v>
      </c>
      <c r="B94" s="137" t="s">
        <v>45</v>
      </c>
      <c r="C94" s="136"/>
      <c r="D94" s="158"/>
      <c r="E94" s="136"/>
      <c r="F94" s="136"/>
      <c r="G94" s="139">
        <f>SUM(G95:G104)</f>
        <v>21.245201957588719</v>
      </c>
      <c r="H94" s="139">
        <f>SUM(H95:H104)</f>
        <v>21.245201957588719</v>
      </c>
      <c r="I94" s="139"/>
      <c r="J94" s="139"/>
      <c r="K94" s="139"/>
      <c r="L94" s="139"/>
      <c r="M94" s="139"/>
      <c r="N94" s="139"/>
      <c r="O94" s="139">
        <f t="shared" ref="O94:Y94" si="111">SUM(O95:O104)</f>
        <v>3.9667912452</v>
      </c>
      <c r="P94" s="139">
        <f t="shared" si="111"/>
        <v>3.6864630368244002</v>
      </c>
      <c r="Q94" s="139">
        <f t="shared" si="111"/>
        <v>4.9009840081375318</v>
      </c>
      <c r="R94" s="139">
        <f t="shared" si="111"/>
        <v>4.6821980334240365</v>
      </c>
      <c r="S94" s="139">
        <f t="shared" si="111"/>
        <v>4.0087656340027475</v>
      </c>
      <c r="T94" s="139">
        <f t="shared" si="111"/>
        <v>21.245201957588719</v>
      </c>
      <c r="U94" s="139">
        <f t="shared" si="111"/>
        <v>3.9667912452</v>
      </c>
      <c r="V94" s="139">
        <f t="shared" si="111"/>
        <v>3.6864630368244002</v>
      </c>
      <c r="W94" s="139">
        <f t="shared" si="111"/>
        <v>4.9009840081375318</v>
      </c>
      <c r="X94" s="139">
        <f t="shared" si="111"/>
        <v>4.6821980334240365</v>
      </c>
      <c r="Y94" s="139">
        <f t="shared" si="111"/>
        <v>4.0087656340027475</v>
      </c>
      <c r="Z94" s="139"/>
      <c r="AA94" s="139"/>
      <c r="AB94" s="139"/>
      <c r="AC94" s="139"/>
      <c r="AD94" s="139"/>
      <c r="AE94" s="140"/>
      <c r="AF94" s="140"/>
      <c r="AG94" s="141"/>
      <c r="AH94" s="134"/>
      <c r="AI94" s="134"/>
      <c r="AJ94" s="134"/>
      <c r="AK94" s="134"/>
      <c r="AL94" s="134"/>
      <c r="AM94" s="134"/>
    </row>
    <row r="95" spans="1:39" s="30" customFormat="1" ht="54">
      <c r="A95" s="84" t="s">
        <v>166</v>
      </c>
      <c r="B95" s="93" t="s">
        <v>47</v>
      </c>
      <c r="C95" s="86" t="s">
        <v>25</v>
      </c>
      <c r="D95" s="96"/>
      <c r="E95" s="86">
        <v>2020</v>
      </c>
      <c r="F95" s="86">
        <v>2024</v>
      </c>
      <c r="G95" s="74">
        <f>H95</f>
        <v>8.4363261047874474</v>
      </c>
      <c r="H95" s="74">
        <f t="shared" ref="H95:H96" si="112">T95</f>
        <v>8.4363261047874474</v>
      </c>
      <c r="I95" s="74"/>
      <c r="J95" s="74"/>
      <c r="K95" s="74"/>
      <c r="L95" s="74"/>
      <c r="M95" s="74"/>
      <c r="N95" s="74"/>
      <c r="O95" s="74">
        <f>1.05*1.048*1.208</f>
        <v>1.3292832000000001</v>
      </c>
      <c r="P95" s="74">
        <f>1.05*1.048*1.031*1.5</f>
        <v>1.7017685999999999</v>
      </c>
      <c r="Q95" s="74">
        <f>1.05*1.048*1.031*1.03*1.5</f>
        <v>1.7528216579999998</v>
      </c>
      <c r="R95" s="74">
        <f>1.05*1.048*1.031*1.03*1.028*1.5</f>
        <v>1.8019006644239999</v>
      </c>
      <c r="S95" s="74">
        <f>1.05*1.048*1.031*1.03*1.028*1.027*1.5</f>
        <v>1.8505519823634478</v>
      </c>
      <c r="T95" s="74">
        <f t="shared" ref="T95" si="113">SUM(O95:S95)</f>
        <v>8.4363261047874474</v>
      </c>
      <c r="U95" s="78">
        <f>O95</f>
        <v>1.3292832000000001</v>
      </c>
      <c r="V95" s="78">
        <f t="shared" ref="V95" si="114">P95</f>
        <v>1.7017685999999999</v>
      </c>
      <c r="W95" s="74">
        <f t="shared" ref="W95" si="115">Q95</f>
        <v>1.7528216579999998</v>
      </c>
      <c r="X95" s="74">
        <f t="shared" ref="X95" si="116">R95</f>
        <v>1.8019006644239999</v>
      </c>
      <c r="Y95" s="78">
        <f>S95</f>
        <v>1.8505519823634478</v>
      </c>
      <c r="Z95" s="78"/>
      <c r="AA95" s="78"/>
      <c r="AB95" s="78"/>
      <c r="AC95" s="78"/>
      <c r="AD95" s="78"/>
      <c r="AE95" s="80"/>
      <c r="AF95" s="80"/>
      <c r="AG95" s="116"/>
      <c r="AH95" s="1"/>
      <c r="AI95" s="1"/>
      <c r="AJ95" s="1"/>
      <c r="AK95" s="1"/>
      <c r="AL95" s="1"/>
      <c r="AM95" s="1"/>
    </row>
    <row r="96" spans="1:39" s="33" customFormat="1" ht="18">
      <c r="A96" s="84" t="s">
        <v>167</v>
      </c>
      <c r="B96" s="93" t="s">
        <v>114</v>
      </c>
      <c r="C96" s="86" t="s">
        <v>25</v>
      </c>
      <c r="D96" s="111">
        <f>N96</f>
        <v>1</v>
      </c>
      <c r="E96" s="86">
        <v>2020</v>
      </c>
      <c r="F96" s="86">
        <v>2020</v>
      </c>
      <c r="G96" s="78">
        <f t="shared" ref="G96" si="117">T96</f>
        <v>0.7124891928</v>
      </c>
      <c r="H96" s="74">
        <f t="shared" si="112"/>
        <v>0.7124891928</v>
      </c>
      <c r="I96" s="74">
        <v>1</v>
      </c>
      <c r="J96" s="74"/>
      <c r="K96" s="74"/>
      <c r="L96" s="74"/>
      <c r="M96" s="74"/>
      <c r="N96" s="74">
        <f>SUM(I96:M96)</f>
        <v>1</v>
      </c>
      <c r="O96" s="74">
        <f>1.05*1.048*0.647482</f>
        <v>0.7124891928</v>
      </c>
      <c r="P96" s="78"/>
      <c r="Q96" s="99"/>
      <c r="R96" s="74"/>
      <c r="S96" s="79"/>
      <c r="T96" s="74">
        <f t="shared" ref="T96" si="118">SUM(O96:S96)</f>
        <v>0.7124891928</v>
      </c>
      <c r="U96" s="78">
        <f>O96</f>
        <v>0.7124891928</v>
      </c>
      <c r="V96" s="74"/>
      <c r="W96" s="74"/>
      <c r="X96" s="74"/>
      <c r="Y96" s="74"/>
      <c r="Z96" s="78"/>
      <c r="AA96" s="77"/>
      <c r="AB96" s="77"/>
      <c r="AC96" s="77"/>
      <c r="AD96" s="77"/>
      <c r="AE96" s="80"/>
      <c r="AF96" s="80"/>
      <c r="AG96" s="89"/>
      <c r="AH96" s="1"/>
      <c r="AI96" s="1"/>
      <c r="AJ96" s="1"/>
      <c r="AK96" s="1"/>
      <c r="AL96" s="1"/>
      <c r="AM96" s="1"/>
    </row>
    <row r="97" spans="1:39" s="33" customFormat="1" ht="18">
      <c r="A97" s="84" t="s">
        <v>168</v>
      </c>
      <c r="B97" s="93" t="s">
        <v>115</v>
      </c>
      <c r="C97" s="86" t="s">
        <v>25</v>
      </c>
      <c r="D97" s="111">
        <f t="shared" ref="D97:D103" si="119">N97</f>
        <v>1</v>
      </c>
      <c r="E97" s="86">
        <v>2020</v>
      </c>
      <c r="F97" s="86">
        <v>2020</v>
      </c>
      <c r="G97" s="78">
        <f t="shared" ref="G97" si="120">T97</f>
        <v>0.82461885239999999</v>
      </c>
      <c r="H97" s="74">
        <f t="shared" ref="H97" si="121">T97</f>
        <v>0.82461885239999999</v>
      </c>
      <c r="I97" s="74">
        <v>1</v>
      </c>
      <c r="J97" s="74"/>
      <c r="K97" s="74"/>
      <c r="L97" s="74"/>
      <c r="M97" s="74"/>
      <c r="N97" s="74">
        <f>SUM(I97:M97)</f>
        <v>1</v>
      </c>
      <c r="O97" s="74">
        <f>1.05*1.048*0.749381</f>
        <v>0.82461885239999999</v>
      </c>
      <c r="P97" s="78"/>
      <c r="Q97" s="99"/>
      <c r="R97" s="74"/>
      <c r="S97" s="79"/>
      <c r="T97" s="74">
        <f t="shared" ref="T97" si="122">SUM(O97:S97)</f>
        <v>0.82461885239999999</v>
      </c>
      <c r="U97" s="78">
        <f>O97</f>
        <v>0.82461885239999999</v>
      </c>
      <c r="V97" s="74"/>
      <c r="W97" s="74"/>
      <c r="X97" s="74"/>
      <c r="Y97" s="74"/>
      <c r="Z97" s="78"/>
      <c r="AA97" s="77"/>
      <c r="AB97" s="77"/>
      <c r="AC97" s="77"/>
      <c r="AD97" s="77"/>
      <c r="AE97" s="80"/>
      <c r="AF97" s="80"/>
      <c r="AG97" s="89"/>
      <c r="AH97" s="1"/>
      <c r="AI97" s="1"/>
      <c r="AJ97" s="1"/>
      <c r="AK97" s="1"/>
      <c r="AL97" s="1"/>
      <c r="AM97" s="1"/>
    </row>
    <row r="98" spans="1:39" s="33" customFormat="1" ht="18">
      <c r="A98" s="84" t="s">
        <v>46</v>
      </c>
      <c r="B98" s="93" t="s">
        <v>116</v>
      </c>
      <c r="C98" s="86" t="s">
        <v>25</v>
      </c>
      <c r="D98" s="111">
        <f t="shared" si="119"/>
        <v>1</v>
      </c>
      <c r="E98" s="86">
        <v>2021</v>
      </c>
      <c r="F98" s="86">
        <v>2021</v>
      </c>
      <c r="G98" s="78">
        <f t="shared" ref="G98" si="123">T98</f>
        <v>0.85018203682439997</v>
      </c>
      <c r="H98" s="74">
        <f t="shared" ref="H98" si="124">T98</f>
        <v>0.85018203682439997</v>
      </c>
      <c r="I98" s="74"/>
      <c r="J98" s="74">
        <v>1</v>
      </c>
      <c r="K98" s="74"/>
      <c r="L98" s="74"/>
      <c r="M98" s="74"/>
      <c r="N98" s="74">
        <f t="shared" ref="N98:N103" si="125">SUM(I98:M98)</f>
        <v>1</v>
      </c>
      <c r="O98" s="74"/>
      <c r="P98" s="74">
        <f>1.05*1.048*1.031*0.749381</f>
        <v>0.85018203682439997</v>
      </c>
      <c r="Q98" s="99"/>
      <c r="R98" s="74"/>
      <c r="S98" s="79"/>
      <c r="T98" s="74">
        <f t="shared" ref="T98" si="126">SUM(O98:S98)</f>
        <v>0.85018203682439997</v>
      </c>
      <c r="U98" s="78"/>
      <c r="V98" s="78">
        <f>P98</f>
        <v>0.85018203682439997</v>
      </c>
      <c r="W98" s="74"/>
      <c r="X98" s="74"/>
      <c r="Y98" s="74"/>
      <c r="Z98" s="78"/>
      <c r="AA98" s="77"/>
      <c r="AB98" s="77"/>
      <c r="AC98" s="77"/>
      <c r="AD98" s="77"/>
      <c r="AE98" s="80"/>
      <c r="AF98" s="80"/>
      <c r="AG98" s="89"/>
      <c r="AH98" s="1"/>
      <c r="AI98" s="1"/>
      <c r="AJ98" s="1"/>
      <c r="AK98" s="1"/>
      <c r="AL98" s="1"/>
      <c r="AM98" s="1"/>
    </row>
    <row r="99" spans="1:39" s="33" customFormat="1" ht="18">
      <c r="A99" s="84" t="s">
        <v>169</v>
      </c>
      <c r="B99" s="93" t="s">
        <v>117</v>
      </c>
      <c r="C99" s="86" t="s">
        <v>25</v>
      </c>
      <c r="D99" s="111">
        <f t="shared" si="119"/>
        <v>1</v>
      </c>
      <c r="E99" s="86">
        <v>2022</v>
      </c>
      <c r="F99" s="86">
        <v>2022</v>
      </c>
      <c r="G99" s="78">
        <f t="shared" ref="G99" si="127">T99</f>
        <v>1.1039270802084</v>
      </c>
      <c r="H99" s="74">
        <f t="shared" ref="H99" si="128">T99</f>
        <v>1.1039270802084</v>
      </c>
      <c r="I99" s="74"/>
      <c r="J99" s="74"/>
      <c r="K99" s="74">
        <v>1</v>
      </c>
      <c r="L99" s="74"/>
      <c r="M99" s="74"/>
      <c r="N99" s="74">
        <f t="shared" si="125"/>
        <v>1</v>
      </c>
      <c r="O99" s="74"/>
      <c r="P99" s="78"/>
      <c r="Q99" s="74">
        <f>1.05*1.048*1.031*1.03*0.9447</f>
        <v>1.1039270802084</v>
      </c>
      <c r="R99" s="74"/>
      <c r="S99" s="79"/>
      <c r="T99" s="74">
        <f t="shared" ref="T99" si="129">SUM(O99:S99)</f>
        <v>1.1039270802084</v>
      </c>
      <c r="U99" s="78"/>
      <c r="V99" s="74"/>
      <c r="W99" s="78">
        <f>Q99</f>
        <v>1.1039270802084</v>
      </c>
      <c r="X99" s="74"/>
      <c r="Y99" s="74"/>
      <c r="Z99" s="78"/>
      <c r="AA99" s="77"/>
      <c r="AB99" s="77"/>
      <c r="AC99" s="77"/>
      <c r="AD99" s="77"/>
      <c r="AE99" s="80"/>
      <c r="AF99" s="80"/>
      <c r="AG99" s="89"/>
      <c r="AH99" s="1"/>
      <c r="AI99" s="1"/>
      <c r="AJ99" s="1"/>
      <c r="AK99" s="1"/>
      <c r="AL99" s="1"/>
      <c r="AM99" s="1"/>
    </row>
    <row r="100" spans="1:39" s="33" customFormat="1" ht="18">
      <c r="A100" s="84" t="s">
        <v>170</v>
      </c>
      <c r="B100" s="93" t="s">
        <v>118</v>
      </c>
      <c r="C100" s="86" t="s">
        <v>25</v>
      </c>
      <c r="D100" s="111">
        <f t="shared" si="119"/>
        <v>1</v>
      </c>
      <c r="E100" s="86">
        <v>2022</v>
      </c>
      <c r="F100" s="86">
        <v>2022</v>
      </c>
      <c r="G100" s="78">
        <f t="shared" ref="G100" si="130">T100</f>
        <v>0.87568749792913192</v>
      </c>
      <c r="H100" s="74">
        <f t="shared" ref="H100" si="131">T100</f>
        <v>0.87568749792913192</v>
      </c>
      <c r="I100" s="74"/>
      <c r="J100" s="74"/>
      <c r="K100" s="74">
        <v>1</v>
      </c>
      <c r="L100" s="74"/>
      <c r="M100" s="74"/>
      <c r="N100" s="74">
        <f t="shared" si="125"/>
        <v>1</v>
      </c>
      <c r="O100" s="74"/>
      <c r="P100" s="78"/>
      <c r="Q100" s="74">
        <f>1.05*1.048*1.031*1.03*0.749381</f>
        <v>0.87568749792913192</v>
      </c>
      <c r="R100" s="74"/>
      <c r="S100" s="79"/>
      <c r="T100" s="74">
        <f t="shared" ref="T100" si="132">SUM(O100:S100)</f>
        <v>0.87568749792913192</v>
      </c>
      <c r="U100" s="78"/>
      <c r="V100" s="74"/>
      <c r="W100" s="78">
        <f>Q100</f>
        <v>0.87568749792913192</v>
      </c>
      <c r="X100" s="74"/>
      <c r="Y100" s="74"/>
      <c r="Z100" s="78"/>
      <c r="AA100" s="77"/>
      <c r="AB100" s="77"/>
      <c r="AC100" s="77"/>
      <c r="AD100" s="77"/>
      <c r="AE100" s="80"/>
      <c r="AF100" s="80"/>
      <c r="AG100" s="89"/>
      <c r="AH100" s="1"/>
      <c r="AI100" s="1"/>
      <c r="AJ100" s="1"/>
      <c r="AK100" s="1"/>
      <c r="AL100" s="1"/>
      <c r="AM100" s="1"/>
    </row>
    <row r="101" spans="1:39" s="33" customFormat="1" ht="18">
      <c r="A101" s="84" t="s">
        <v>171</v>
      </c>
      <c r="B101" s="93" t="s">
        <v>119</v>
      </c>
      <c r="C101" s="86" t="s">
        <v>25</v>
      </c>
      <c r="D101" s="111">
        <f t="shared" si="119"/>
        <v>1</v>
      </c>
      <c r="E101" s="86">
        <v>2023</v>
      </c>
      <c r="F101" s="86">
        <v>2023</v>
      </c>
      <c r="G101" s="78">
        <f t="shared" ref="G101" si="133">T101</f>
        <v>0.90020674787114763</v>
      </c>
      <c r="H101" s="74">
        <f t="shared" ref="H101" si="134">T101</f>
        <v>0.90020674787114763</v>
      </c>
      <c r="I101" s="74"/>
      <c r="J101" s="74"/>
      <c r="K101" s="74"/>
      <c r="L101" s="74">
        <v>1</v>
      </c>
      <c r="M101" s="74"/>
      <c r="N101" s="74">
        <f t="shared" si="125"/>
        <v>1</v>
      </c>
      <c r="O101" s="74"/>
      <c r="P101" s="78"/>
      <c r="Q101" s="99"/>
      <c r="R101" s="74">
        <f>1.05*1.048*1.031*1.03*1.028*0.749381</f>
        <v>0.90020674787114763</v>
      </c>
      <c r="S101" s="79"/>
      <c r="T101" s="74">
        <f t="shared" ref="T101" si="135">SUM(O101:S101)</f>
        <v>0.90020674787114763</v>
      </c>
      <c r="U101" s="78"/>
      <c r="V101" s="74"/>
      <c r="W101" s="74"/>
      <c r="X101" s="74">
        <f t="shared" ref="X101:Y104" si="136">R101</f>
        <v>0.90020674787114763</v>
      </c>
      <c r="Y101" s="74"/>
      <c r="Z101" s="78"/>
      <c r="AA101" s="77"/>
      <c r="AB101" s="77"/>
      <c r="AC101" s="77"/>
      <c r="AD101" s="77"/>
      <c r="AE101" s="80"/>
      <c r="AF101" s="80"/>
      <c r="AG101" s="89"/>
      <c r="AH101" s="1"/>
      <c r="AI101" s="1"/>
      <c r="AJ101" s="1"/>
      <c r="AK101" s="1"/>
      <c r="AL101" s="1"/>
      <c r="AM101" s="1"/>
    </row>
    <row r="102" spans="1:39" s="33" customFormat="1" ht="18">
      <c r="A102" s="84" t="s">
        <v>172</v>
      </c>
      <c r="B102" s="93" t="s">
        <v>120</v>
      </c>
      <c r="C102" s="86" t="s">
        <v>25</v>
      </c>
      <c r="D102" s="111">
        <f t="shared" si="119"/>
        <v>1</v>
      </c>
      <c r="E102" s="86">
        <v>2023</v>
      </c>
      <c r="F102" s="86">
        <v>2023</v>
      </c>
      <c r="G102" s="78">
        <f t="shared" ref="G102" si="137">T102</f>
        <v>0.77882351151288931</v>
      </c>
      <c r="H102" s="74">
        <f t="shared" ref="H102" si="138">T102</f>
        <v>0.77882351151288931</v>
      </c>
      <c r="I102" s="74"/>
      <c r="J102" s="74"/>
      <c r="K102" s="74"/>
      <c r="L102" s="74">
        <v>1</v>
      </c>
      <c r="M102" s="74"/>
      <c r="N102" s="74">
        <f t="shared" si="125"/>
        <v>1</v>
      </c>
      <c r="O102" s="74"/>
      <c r="P102" s="78"/>
      <c r="Q102" s="99"/>
      <c r="R102" s="74">
        <f>1.05*1.048*1.031*1.03*1.028*0.648335</f>
        <v>0.77882351151288931</v>
      </c>
      <c r="S102" s="79"/>
      <c r="T102" s="74">
        <f t="shared" ref="T102" si="139">SUM(O102:S102)</f>
        <v>0.77882351151288931</v>
      </c>
      <c r="U102" s="78"/>
      <c r="V102" s="74"/>
      <c r="W102" s="74"/>
      <c r="X102" s="74">
        <f t="shared" si="136"/>
        <v>0.77882351151288931</v>
      </c>
      <c r="Y102" s="74"/>
      <c r="Z102" s="78"/>
      <c r="AA102" s="77"/>
      <c r="AB102" s="77"/>
      <c r="AC102" s="77"/>
      <c r="AD102" s="77"/>
      <c r="AE102" s="80"/>
      <c r="AF102" s="80"/>
      <c r="AG102" s="89"/>
      <c r="AH102" s="1"/>
      <c r="AI102" s="1"/>
      <c r="AJ102" s="1"/>
      <c r="AK102" s="1"/>
      <c r="AL102" s="1"/>
      <c r="AM102" s="1"/>
    </row>
    <row r="103" spans="1:39" s="33" customFormat="1" ht="18">
      <c r="A103" s="84" t="s">
        <v>173</v>
      </c>
      <c r="B103" s="93" t="s">
        <v>121</v>
      </c>
      <c r="C103" s="86" t="s">
        <v>25</v>
      </c>
      <c r="D103" s="111">
        <f t="shared" si="119"/>
        <v>1</v>
      </c>
      <c r="E103" s="86">
        <v>2024</v>
      </c>
      <c r="F103" s="86">
        <v>2024</v>
      </c>
      <c r="G103" s="78">
        <f t="shared" ref="G103" si="140">T103</f>
        <v>0.92451233006366851</v>
      </c>
      <c r="H103" s="74">
        <f t="shared" ref="H103" si="141">T103</f>
        <v>0.92451233006366851</v>
      </c>
      <c r="I103" s="74"/>
      <c r="J103" s="74"/>
      <c r="K103" s="74"/>
      <c r="L103" s="74"/>
      <c r="M103" s="74">
        <v>1</v>
      </c>
      <c r="N103" s="74">
        <f t="shared" si="125"/>
        <v>1</v>
      </c>
      <c r="O103" s="74"/>
      <c r="P103" s="78"/>
      <c r="Q103" s="99"/>
      <c r="R103" s="74"/>
      <c r="S103" s="74">
        <f>1.05*1.048*1.031*1.03*1.028*1.027*0.749381</f>
        <v>0.92451233006366851</v>
      </c>
      <c r="T103" s="74">
        <f t="shared" ref="T103:T104" si="142">SUM(O103:S103)</f>
        <v>0.92451233006366851</v>
      </c>
      <c r="U103" s="78"/>
      <c r="V103" s="74"/>
      <c r="W103" s="74"/>
      <c r="X103" s="74"/>
      <c r="Y103" s="74">
        <f t="shared" si="136"/>
        <v>0.92451233006366851</v>
      </c>
      <c r="Z103" s="78"/>
      <c r="AA103" s="77"/>
      <c r="AB103" s="77"/>
      <c r="AC103" s="77"/>
      <c r="AD103" s="77"/>
      <c r="AE103" s="80"/>
      <c r="AF103" s="80"/>
      <c r="AG103" s="89"/>
      <c r="AH103" s="1"/>
      <c r="AI103" s="1"/>
      <c r="AJ103" s="1"/>
      <c r="AK103" s="1"/>
      <c r="AL103" s="1"/>
      <c r="AM103" s="1"/>
    </row>
    <row r="104" spans="1:39" s="33" customFormat="1" ht="54">
      <c r="A104" s="84" t="s">
        <v>174</v>
      </c>
      <c r="B104" s="93" t="s">
        <v>200</v>
      </c>
      <c r="C104" s="86" t="s">
        <v>25</v>
      </c>
      <c r="D104" s="74"/>
      <c r="E104" s="86">
        <v>2020</v>
      </c>
      <c r="F104" s="86">
        <v>2024</v>
      </c>
      <c r="G104" s="78">
        <f t="shared" ref="G104" si="143">T104</f>
        <v>5.8384286031916321</v>
      </c>
      <c r="H104" s="74">
        <f t="shared" ref="H104" si="144">T104</f>
        <v>5.8384286031916321</v>
      </c>
      <c r="I104" s="74"/>
      <c r="J104" s="74"/>
      <c r="K104" s="74"/>
      <c r="L104" s="74"/>
      <c r="M104" s="74"/>
      <c r="N104" s="74"/>
      <c r="O104" s="74">
        <f>1.05*1.048*1</f>
        <v>1.1004</v>
      </c>
      <c r="P104" s="74">
        <f>1.05*1.048*1.031*1</f>
        <v>1.1345124</v>
      </c>
      <c r="Q104" s="74">
        <f>1.05*1.048*1.031*1.03*1</f>
        <v>1.1685477719999999</v>
      </c>
      <c r="R104" s="74">
        <f>1.05*1.048*1.031*1.03*1.028*1</f>
        <v>1.2012671096159999</v>
      </c>
      <c r="S104" s="74">
        <f>1.05*1.048*1.031*1.03*1.028*1.027*1</f>
        <v>1.2337013215756318</v>
      </c>
      <c r="T104" s="74">
        <f t="shared" si="142"/>
        <v>5.8384286031916321</v>
      </c>
      <c r="U104" s="78">
        <f>O104</f>
        <v>1.1004</v>
      </c>
      <c r="V104" s="78">
        <f>P104</f>
        <v>1.1345124</v>
      </c>
      <c r="W104" s="78">
        <f>Q104</f>
        <v>1.1685477719999999</v>
      </c>
      <c r="X104" s="74">
        <f t="shared" si="136"/>
        <v>1.2012671096159999</v>
      </c>
      <c r="Y104" s="74">
        <f t="shared" si="136"/>
        <v>1.2337013215756318</v>
      </c>
      <c r="Z104" s="78"/>
      <c r="AA104" s="77"/>
      <c r="AB104" s="77"/>
      <c r="AC104" s="77"/>
      <c r="AD104" s="77"/>
      <c r="AE104" s="80"/>
      <c r="AF104" s="80"/>
      <c r="AG104" s="89"/>
      <c r="AH104" s="1"/>
      <c r="AI104" s="1"/>
      <c r="AJ104" s="1"/>
      <c r="AK104" s="1"/>
      <c r="AL104" s="1"/>
      <c r="AM104" s="1"/>
    </row>
    <row r="105" spans="1:39" s="134" customFormat="1" ht="18">
      <c r="A105" s="135" t="s">
        <v>48</v>
      </c>
      <c r="B105" s="137" t="s">
        <v>49</v>
      </c>
      <c r="C105" s="146"/>
      <c r="D105" s="139">
        <f>SUM(D106:D132)</f>
        <v>27</v>
      </c>
      <c r="E105" s="137"/>
      <c r="F105" s="137"/>
      <c r="G105" s="139">
        <f>SUM(G106:G132)</f>
        <v>70.458497729749865</v>
      </c>
      <c r="H105" s="139">
        <f>SUM(H106:H132)</f>
        <v>70.458497729749865</v>
      </c>
      <c r="I105" s="148"/>
      <c r="J105" s="148"/>
      <c r="K105" s="148"/>
      <c r="L105" s="148"/>
      <c r="M105" s="148"/>
      <c r="N105" s="148"/>
      <c r="O105" s="139">
        <f>SUM(O106:O132)</f>
        <v>14.551391010830057</v>
      </c>
      <c r="P105" s="139">
        <f t="shared" ref="P105:X105" si="145">SUM(P106:P132)</f>
        <v>20.267587314281997</v>
      </c>
      <c r="Q105" s="139">
        <f t="shared" si="145"/>
        <v>10.905727111051078</v>
      </c>
      <c r="R105" s="139">
        <f t="shared" si="145"/>
        <v>6.8130014902508647</v>
      </c>
      <c r="S105" s="139">
        <f t="shared" si="145"/>
        <v>17.920790803335876</v>
      </c>
      <c r="T105" s="139">
        <f t="shared" si="145"/>
        <v>70.458497729749865</v>
      </c>
      <c r="U105" s="139">
        <f t="shared" si="145"/>
        <v>14.551391010830057</v>
      </c>
      <c r="V105" s="139">
        <f t="shared" si="145"/>
        <v>20.267587314281997</v>
      </c>
      <c r="W105" s="139">
        <f t="shared" si="145"/>
        <v>10.905727111051078</v>
      </c>
      <c r="X105" s="139">
        <f t="shared" si="145"/>
        <v>6.8130014902508647</v>
      </c>
      <c r="Y105" s="138">
        <f t="shared" ref="Y105" si="146">SUM(Y106:Y132)</f>
        <v>17.920790803335876</v>
      </c>
      <c r="Z105" s="138"/>
      <c r="AA105" s="138"/>
      <c r="AB105" s="138"/>
      <c r="AC105" s="138"/>
      <c r="AD105" s="138"/>
      <c r="AE105" s="149"/>
      <c r="AF105" s="149"/>
      <c r="AG105" s="150"/>
    </row>
    <row r="106" spans="1:39" s="30" customFormat="1" ht="36">
      <c r="A106" s="84" t="s">
        <v>50</v>
      </c>
      <c r="B106" s="85" t="s">
        <v>138</v>
      </c>
      <c r="C106" s="100" t="s">
        <v>25</v>
      </c>
      <c r="D106" s="74">
        <v>1</v>
      </c>
      <c r="E106" s="86">
        <v>2020</v>
      </c>
      <c r="F106" s="86">
        <v>2020</v>
      </c>
      <c r="G106" s="74">
        <f t="shared" ref="G106:G119" si="147">T106</f>
        <v>6.4583639999999995</v>
      </c>
      <c r="H106" s="74">
        <f t="shared" ref="H106:H119" si="148">G106</f>
        <v>6.4583639999999995</v>
      </c>
      <c r="I106" s="77"/>
      <c r="J106" s="74"/>
      <c r="K106" s="74"/>
      <c r="L106" s="74"/>
      <c r="M106" s="74"/>
      <c r="N106" s="74"/>
      <c r="O106" s="77">
        <f xml:space="preserve"> 1.041*1.034*6</f>
        <v>6.4583639999999995</v>
      </c>
      <c r="P106" s="74"/>
      <c r="Q106" s="74"/>
      <c r="R106" s="74"/>
      <c r="S106" s="74"/>
      <c r="T106" s="99">
        <f>SUM(O106:S106)</f>
        <v>6.4583639999999995</v>
      </c>
      <c r="U106" s="77">
        <f xml:space="preserve"> 1.041*1.034*6</f>
        <v>6.4583639999999995</v>
      </c>
      <c r="V106" s="74"/>
      <c r="W106" s="74"/>
      <c r="X106" s="74"/>
      <c r="Y106" s="74"/>
      <c r="Z106" s="101"/>
      <c r="AA106" s="77"/>
      <c r="AB106" s="77"/>
      <c r="AC106" s="77"/>
      <c r="AD106" s="77"/>
      <c r="AE106" s="80"/>
      <c r="AF106" s="80"/>
      <c r="AG106" s="89"/>
      <c r="AH106" s="1"/>
      <c r="AI106" s="1"/>
      <c r="AJ106" s="1"/>
      <c r="AK106" s="1"/>
      <c r="AL106" s="1"/>
      <c r="AM106" s="1"/>
    </row>
    <row r="107" spans="1:39" s="30" customFormat="1" ht="24.75" customHeight="1">
      <c r="A107" s="84" t="s">
        <v>175</v>
      </c>
      <c r="B107" s="85" t="s">
        <v>164</v>
      </c>
      <c r="C107" s="100" t="s">
        <v>25</v>
      </c>
      <c r="D107" s="74">
        <v>1</v>
      </c>
      <c r="E107" s="86">
        <v>2020</v>
      </c>
      <c r="F107" s="86">
        <v>2020</v>
      </c>
      <c r="G107" s="74">
        <f t="shared" si="147"/>
        <v>1.7491402499999997</v>
      </c>
      <c r="H107" s="74">
        <f t="shared" si="148"/>
        <v>1.7491402499999997</v>
      </c>
      <c r="I107" s="77"/>
      <c r="J107" s="74"/>
      <c r="K107" s="74"/>
      <c r="L107" s="74"/>
      <c r="M107" s="74"/>
      <c r="N107" s="74"/>
      <c r="O107" s="77">
        <f xml:space="preserve"> 1.041*1.034*1.625</f>
        <v>1.7491402499999997</v>
      </c>
      <c r="P107" s="74"/>
      <c r="Q107" s="74"/>
      <c r="R107" s="74"/>
      <c r="S107" s="74"/>
      <c r="T107" s="99">
        <f>SUM(O107:S107)</f>
        <v>1.7491402499999997</v>
      </c>
      <c r="U107" s="77">
        <f>O107</f>
        <v>1.7491402499999997</v>
      </c>
      <c r="V107" s="74"/>
      <c r="W107" s="74"/>
      <c r="X107" s="74"/>
      <c r="Y107" s="74"/>
      <c r="Z107" s="101"/>
      <c r="AA107" s="77"/>
      <c r="AB107" s="77"/>
      <c r="AC107" s="77"/>
      <c r="AD107" s="77"/>
      <c r="AE107" s="80"/>
      <c r="AF107" s="80"/>
      <c r="AG107" s="89"/>
      <c r="AH107" s="1"/>
      <c r="AI107" s="1"/>
      <c r="AJ107" s="1"/>
      <c r="AK107" s="1"/>
      <c r="AL107" s="1"/>
      <c r="AM107" s="1"/>
    </row>
    <row r="108" spans="1:39" s="30" customFormat="1" ht="18">
      <c r="A108" s="84" t="s">
        <v>176</v>
      </c>
      <c r="B108" s="85" t="s">
        <v>139</v>
      </c>
      <c r="C108" s="100" t="s">
        <v>25</v>
      </c>
      <c r="D108" s="74">
        <v>1</v>
      </c>
      <c r="E108" s="86">
        <v>2020</v>
      </c>
      <c r="F108" s="86">
        <v>2020</v>
      </c>
      <c r="G108" s="74">
        <f t="shared" si="147"/>
        <v>0.76617724919999985</v>
      </c>
      <c r="H108" s="74">
        <f t="shared" si="148"/>
        <v>0.76617724919999985</v>
      </c>
      <c r="I108" s="77"/>
      <c r="J108" s="74"/>
      <c r="K108" s="74"/>
      <c r="L108" s="74"/>
      <c r="M108" s="74"/>
      <c r="N108" s="74"/>
      <c r="O108" s="77">
        <f xml:space="preserve"> 1.041*1.034*0.7118</f>
        <v>0.76617724919999985</v>
      </c>
      <c r="P108" s="74"/>
      <c r="Q108" s="74"/>
      <c r="R108" s="74"/>
      <c r="S108" s="74"/>
      <c r="T108" s="99">
        <f>SUM(O108:S108)</f>
        <v>0.76617724919999985</v>
      </c>
      <c r="U108" s="77">
        <f xml:space="preserve"> T108</f>
        <v>0.76617724919999985</v>
      </c>
      <c r="V108" s="74"/>
      <c r="W108" s="74"/>
      <c r="X108" s="74"/>
      <c r="Y108" s="74"/>
      <c r="Z108" s="101"/>
      <c r="AA108" s="77"/>
      <c r="AB108" s="77"/>
      <c r="AC108" s="77"/>
      <c r="AD108" s="77"/>
      <c r="AE108" s="80"/>
      <c r="AF108" s="80"/>
      <c r="AG108" s="89"/>
      <c r="AH108" s="1"/>
      <c r="AI108" s="1"/>
      <c r="AJ108" s="1"/>
      <c r="AK108" s="1"/>
      <c r="AL108" s="1"/>
      <c r="AM108" s="1"/>
    </row>
    <row r="109" spans="1:39" s="30" customFormat="1" ht="36">
      <c r="A109" s="84" t="s">
        <v>177</v>
      </c>
      <c r="B109" s="85" t="s">
        <v>201</v>
      </c>
      <c r="C109" s="100" t="s">
        <v>25</v>
      </c>
      <c r="D109" s="74">
        <v>1</v>
      </c>
      <c r="E109" s="86">
        <v>2020</v>
      </c>
      <c r="F109" s="86">
        <v>2020</v>
      </c>
      <c r="G109" s="74">
        <f t="shared" si="147"/>
        <v>1.0624008779999998</v>
      </c>
      <c r="H109" s="74">
        <f t="shared" si="148"/>
        <v>1.0624008779999998</v>
      </c>
      <c r="I109" s="77"/>
      <c r="J109" s="74"/>
      <c r="K109" s="74"/>
      <c r="L109" s="74"/>
      <c r="M109" s="74"/>
      <c r="N109" s="74"/>
      <c r="O109" s="77">
        <f xml:space="preserve"> 1.041*1.034*0.987</f>
        <v>1.0624008779999998</v>
      </c>
      <c r="P109" s="74"/>
      <c r="Q109" s="74"/>
      <c r="R109" s="74"/>
      <c r="S109" s="74"/>
      <c r="T109" s="99">
        <f>SUM(O109:S109)</f>
        <v>1.0624008779999998</v>
      </c>
      <c r="U109" s="77">
        <f>O109</f>
        <v>1.0624008779999998</v>
      </c>
      <c r="V109" s="74"/>
      <c r="W109" s="74"/>
      <c r="X109" s="74"/>
      <c r="Y109" s="74"/>
      <c r="Z109" s="101"/>
      <c r="AA109" s="77"/>
      <c r="AB109" s="77"/>
      <c r="AC109" s="77"/>
      <c r="AD109" s="77"/>
      <c r="AE109" s="80"/>
      <c r="AF109" s="80"/>
      <c r="AG109" s="89"/>
      <c r="AH109" s="1"/>
      <c r="AI109" s="1"/>
      <c r="AJ109" s="1"/>
      <c r="AK109" s="1"/>
      <c r="AL109" s="1"/>
      <c r="AM109" s="1"/>
    </row>
    <row r="110" spans="1:39" s="30" customFormat="1" ht="36">
      <c r="A110" s="84" t="s">
        <v>178</v>
      </c>
      <c r="B110" s="85" t="s">
        <v>202</v>
      </c>
      <c r="C110" s="100" t="s">
        <v>25</v>
      </c>
      <c r="D110" s="74">
        <v>1</v>
      </c>
      <c r="E110" s="86">
        <v>2021</v>
      </c>
      <c r="F110" s="86">
        <v>2021</v>
      </c>
      <c r="G110" s="74">
        <f t="shared" si="147"/>
        <v>1.0953353052179999</v>
      </c>
      <c r="H110" s="74">
        <f t="shared" si="148"/>
        <v>1.0953353052179999</v>
      </c>
      <c r="I110" s="77"/>
      <c r="J110" s="74"/>
      <c r="K110" s="74"/>
      <c r="L110" s="74"/>
      <c r="M110" s="74"/>
      <c r="N110" s="74"/>
      <c r="O110" s="74"/>
      <c r="P110" s="77">
        <f xml:space="preserve"> 1.041*1.034*1.031*0.987</f>
        <v>1.0953353052179999</v>
      </c>
      <c r="Q110" s="74"/>
      <c r="R110" s="74"/>
      <c r="S110" s="74"/>
      <c r="T110" s="99">
        <f>SUM(P110:S110)</f>
        <v>1.0953353052179999</v>
      </c>
      <c r="U110" s="74"/>
      <c r="V110" s="77">
        <f xml:space="preserve"> P110</f>
        <v>1.0953353052179999</v>
      </c>
      <c r="W110" s="74"/>
      <c r="X110" s="74"/>
      <c r="Y110" s="74"/>
      <c r="Z110" s="101"/>
      <c r="AA110" s="77"/>
      <c r="AB110" s="77"/>
      <c r="AC110" s="77"/>
      <c r="AD110" s="77"/>
      <c r="AE110" s="80"/>
      <c r="AF110" s="80"/>
      <c r="AG110" s="89"/>
      <c r="AH110" s="1"/>
      <c r="AI110" s="1"/>
      <c r="AJ110" s="1"/>
      <c r="AK110" s="1"/>
      <c r="AL110" s="1"/>
      <c r="AM110" s="1"/>
    </row>
    <row r="111" spans="1:39" s="30" customFormat="1" ht="54">
      <c r="A111" s="84" t="s">
        <v>179</v>
      </c>
      <c r="B111" s="85" t="s">
        <v>140</v>
      </c>
      <c r="C111" s="100" t="s">
        <v>25</v>
      </c>
      <c r="D111" s="74">
        <v>1</v>
      </c>
      <c r="E111" s="86">
        <v>2021</v>
      </c>
      <c r="F111" s="86">
        <v>2021</v>
      </c>
      <c r="G111" s="74">
        <f t="shared" si="147"/>
        <v>6.1980219651899988</v>
      </c>
      <c r="H111" s="74">
        <f t="shared" si="148"/>
        <v>6.1980219651899988</v>
      </c>
      <c r="I111" s="74"/>
      <c r="J111" s="74"/>
      <c r="K111" s="74"/>
      <c r="L111" s="74"/>
      <c r="M111" s="77"/>
      <c r="N111" s="74"/>
      <c r="O111" s="74"/>
      <c r="P111" s="77">
        <f xml:space="preserve"> 1.041*1.034*1.031*5.585</f>
        <v>6.1980219651899988</v>
      </c>
      <c r="Q111" s="74"/>
      <c r="R111" s="74"/>
      <c r="S111" s="77"/>
      <c r="T111" s="99">
        <f>SUM(P111:S111)</f>
        <v>6.1980219651899988</v>
      </c>
      <c r="U111" s="74"/>
      <c r="V111" s="77">
        <f>P111</f>
        <v>6.1980219651899988</v>
      </c>
      <c r="W111" s="74"/>
      <c r="X111" s="74"/>
      <c r="Y111" s="74"/>
      <c r="Z111" s="101"/>
      <c r="AA111" s="77"/>
      <c r="AB111" s="77"/>
      <c r="AC111" s="77"/>
      <c r="AD111" s="77"/>
      <c r="AE111" s="80"/>
      <c r="AF111" s="80"/>
      <c r="AG111" s="89"/>
      <c r="AH111" s="1"/>
      <c r="AI111" s="1"/>
      <c r="AJ111" s="1"/>
      <c r="AK111" s="1"/>
      <c r="AL111" s="1"/>
      <c r="AM111" s="1"/>
    </row>
    <row r="112" spans="1:39" s="30" customFormat="1" ht="36">
      <c r="A112" s="84" t="s">
        <v>51</v>
      </c>
      <c r="B112" s="85" t="s">
        <v>141</v>
      </c>
      <c r="C112" s="100" t="s">
        <v>25</v>
      </c>
      <c r="D112" s="74">
        <v>1</v>
      </c>
      <c r="E112" s="86">
        <v>2020</v>
      </c>
      <c r="F112" s="86">
        <v>2020</v>
      </c>
      <c r="G112" s="74">
        <f t="shared" si="147"/>
        <v>1.2313947359999997</v>
      </c>
      <c r="H112" s="74">
        <f t="shared" si="148"/>
        <v>1.2313947359999997</v>
      </c>
      <c r="I112" s="74"/>
      <c r="J112" s="74"/>
      <c r="K112" s="74"/>
      <c r="L112" s="74"/>
      <c r="M112" s="77"/>
      <c r="N112" s="74"/>
      <c r="O112" s="77">
        <f xml:space="preserve"> 1.041*1.034*1.144</f>
        <v>1.2313947359999997</v>
      </c>
      <c r="P112" s="77"/>
      <c r="Q112" s="74"/>
      <c r="R112" s="74"/>
      <c r="S112" s="77"/>
      <c r="T112" s="99">
        <f t="shared" ref="T112:T117" si="149">SUM(O112:S112)</f>
        <v>1.2313947359999997</v>
      </c>
      <c r="U112" s="77">
        <f xml:space="preserve"> O112</f>
        <v>1.2313947359999997</v>
      </c>
      <c r="V112" s="74"/>
      <c r="W112" s="74"/>
      <c r="X112" s="74"/>
      <c r="Y112" s="74"/>
      <c r="Z112" s="101"/>
      <c r="AA112" s="77"/>
      <c r="AB112" s="77"/>
      <c r="AC112" s="77"/>
      <c r="AD112" s="77"/>
      <c r="AE112" s="80"/>
      <c r="AF112" s="80"/>
      <c r="AG112" s="89"/>
      <c r="AH112" s="1"/>
      <c r="AI112" s="1"/>
      <c r="AJ112" s="1"/>
      <c r="AK112" s="1"/>
      <c r="AL112" s="1"/>
      <c r="AM112" s="1"/>
    </row>
    <row r="113" spans="1:39" s="30" customFormat="1" ht="54">
      <c r="A113" s="84" t="s">
        <v>180</v>
      </c>
      <c r="B113" s="85" t="s">
        <v>142</v>
      </c>
      <c r="C113" s="100" t="s">
        <v>25</v>
      </c>
      <c r="D113" s="74">
        <v>1</v>
      </c>
      <c r="E113" s="86">
        <v>2021</v>
      </c>
      <c r="F113" s="86">
        <v>2021</v>
      </c>
      <c r="G113" s="74">
        <f t="shared" si="147"/>
        <v>7.5463830551999989</v>
      </c>
      <c r="H113" s="74">
        <f t="shared" si="148"/>
        <v>7.5463830551999989</v>
      </c>
      <c r="I113" s="74"/>
      <c r="J113" s="74"/>
      <c r="K113" s="74"/>
      <c r="L113" s="74"/>
      <c r="M113" s="77"/>
      <c r="N113" s="74"/>
      <c r="O113" s="77"/>
      <c r="P113" s="77">
        <f xml:space="preserve"> 1.041*1.034*1.031*6.8</f>
        <v>7.5463830551999989</v>
      </c>
      <c r="Q113" s="74"/>
      <c r="R113" s="74"/>
      <c r="S113" s="77"/>
      <c r="T113" s="99">
        <f t="shared" si="149"/>
        <v>7.5463830551999989</v>
      </c>
      <c r="U113" s="80"/>
      <c r="V113" s="77">
        <f xml:space="preserve"> P113</f>
        <v>7.5463830551999989</v>
      </c>
      <c r="W113" s="74"/>
      <c r="X113" s="74"/>
      <c r="Y113" s="74"/>
      <c r="Z113" s="101"/>
      <c r="AA113" s="77"/>
      <c r="AB113" s="77"/>
      <c r="AC113" s="77"/>
      <c r="AD113" s="77"/>
      <c r="AE113" s="80"/>
      <c r="AF113" s="80"/>
      <c r="AG113" s="89"/>
      <c r="AH113" s="1"/>
      <c r="AI113" s="1"/>
      <c r="AJ113" s="1"/>
      <c r="AK113" s="1"/>
      <c r="AL113" s="1"/>
      <c r="AM113" s="1"/>
    </row>
    <row r="114" spans="1:39" s="30" customFormat="1" ht="36">
      <c r="A114" s="84" t="s">
        <v>181</v>
      </c>
      <c r="B114" s="85" t="s">
        <v>143</v>
      </c>
      <c r="C114" s="100" t="s">
        <v>25</v>
      </c>
      <c r="D114" s="74">
        <v>1</v>
      </c>
      <c r="E114" s="86">
        <v>2021</v>
      </c>
      <c r="F114" s="86">
        <v>2021</v>
      </c>
      <c r="G114" s="74">
        <f t="shared" si="147"/>
        <v>2.0530600958999998</v>
      </c>
      <c r="H114" s="74">
        <f t="shared" si="148"/>
        <v>2.0530600958999998</v>
      </c>
      <c r="I114" s="74"/>
      <c r="J114" s="74"/>
      <c r="K114" s="74"/>
      <c r="L114" s="74"/>
      <c r="M114" s="77"/>
      <c r="N114" s="74"/>
      <c r="O114" s="77"/>
      <c r="P114" s="77">
        <f xml:space="preserve"> 1.041*1.034*1.031*1.85</f>
        <v>2.0530600958999998</v>
      </c>
      <c r="Q114" s="74"/>
      <c r="R114" s="74"/>
      <c r="S114" s="77"/>
      <c r="T114" s="99">
        <f t="shared" si="149"/>
        <v>2.0530600958999998</v>
      </c>
      <c r="U114" s="74"/>
      <c r="V114" s="77">
        <f xml:space="preserve"> 1.041*1.034*1.031*1.85</f>
        <v>2.0530600958999998</v>
      </c>
      <c r="W114" s="74"/>
      <c r="X114" s="74"/>
      <c r="Y114" s="74"/>
      <c r="Z114" s="101"/>
      <c r="AA114" s="77"/>
      <c r="AB114" s="77"/>
      <c r="AC114" s="77"/>
      <c r="AD114" s="77"/>
      <c r="AE114" s="80"/>
      <c r="AF114" s="80"/>
      <c r="AG114" s="89"/>
      <c r="AH114" s="1"/>
      <c r="AI114" s="1"/>
      <c r="AJ114" s="1"/>
      <c r="AK114" s="1"/>
      <c r="AL114" s="1"/>
      <c r="AM114" s="1"/>
    </row>
    <row r="115" spans="1:39" s="30" customFormat="1" ht="36">
      <c r="A115" s="84" t="s">
        <v>182</v>
      </c>
      <c r="B115" s="85" t="s">
        <v>144</v>
      </c>
      <c r="C115" s="100" t="s">
        <v>25</v>
      </c>
      <c r="D115" s="74">
        <v>1</v>
      </c>
      <c r="E115" s="86">
        <v>2021</v>
      </c>
      <c r="F115" s="86">
        <v>2021</v>
      </c>
      <c r="G115" s="74">
        <f t="shared" si="147"/>
        <v>1.0542741032999998</v>
      </c>
      <c r="H115" s="74">
        <f t="shared" si="148"/>
        <v>1.0542741032999998</v>
      </c>
      <c r="I115" s="74"/>
      <c r="J115" s="74"/>
      <c r="K115" s="74"/>
      <c r="L115" s="74"/>
      <c r="M115" s="77"/>
      <c r="N115" s="74"/>
      <c r="O115" s="77"/>
      <c r="P115" s="77">
        <f xml:space="preserve"> 1.041*1.034*1.031*0.95</f>
        <v>1.0542741032999998</v>
      </c>
      <c r="Q115" s="74"/>
      <c r="R115" s="74"/>
      <c r="S115" s="77"/>
      <c r="T115" s="99">
        <f t="shared" si="149"/>
        <v>1.0542741032999998</v>
      </c>
      <c r="U115" s="74"/>
      <c r="V115" s="77">
        <f xml:space="preserve"> 1.041*1.034*1.031*0.95</f>
        <v>1.0542741032999998</v>
      </c>
      <c r="W115" s="74"/>
      <c r="X115" s="74"/>
      <c r="Y115" s="74"/>
      <c r="Z115" s="101"/>
      <c r="AA115" s="77"/>
      <c r="AB115" s="77"/>
      <c r="AC115" s="77"/>
      <c r="AD115" s="77"/>
      <c r="AE115" s="80"/>
      <c r="AF115" s="80"/>
      <c r="AG115" s="89"/>
      <c r="AH115" s="1"/>
      <c r="AI115" s="1"/>
      <c r="AJ115" s="1"/>
      <c r="AK115" s="1"/>
      <c r="AL115" s="1"/>
      <c r="AM115" s="1"/>
    </row>
    <row r="116" spans="1:39" s="30" customFormat="1" ht="36">
      <c r="A116" s="84" t="s">
        <v>183</v>
      </c>
      <c r="B116" s="85" t="s">
        <v>145</v>
      </c>
      <c r="C116" s="100" t="s">
        <v>25</v>
      </c>
      <c r="D116" s="74">
        <v>1</v>
      </c>
      <c r="E116" s="86">
        <v>2021</v>
      </c>
      <c r="F116" s="86">
        <v>2021</v>
      </c>
      <c r="G116" s="74">
        <f t="shared" si="147"/>
        <v>1.6091552102999997</v>
      </c>
      <c r="H116" s="74">
        <f t="shared" si="148"/>
        <v>1.6091552102999997</v>
      </c>
      <c r="I116" s="74"/>
      <c r="J116" s="74"/>
      <c r="K116" s="74"/>
      <c r="L116" s="74"/>
      <c r="M116" s="77"/>
      <c r="N116" s="74"/>
      <c r="O116" s="77"/>
      <c r="P116" s="77">
        <f xml:space="preserve"> 1.041*1.034*1.031*1.45</f>
        <v>1.6091552102999997</v>
      </c>
      <c r="Q116" s="74"/>
      <c r="R116" s="74"/>
      <c r="S116" s="77"/>
      <c r="T116" s="99">
        <f t="shared" si="149"/>
        <v>1.6091552102999997</v>
      </c>
      <c r="U116" s="74"/>
      <c r="V116" s="77">
        <f xml:space="preserve"> 1.041*1.034*1.031*1.45</f>
        <v>1.6091552102999997</v>
      </c>
      <c r="W116" s="74"/>
      <c r="X116" s="74"/>
      <c r="Y116" s="74"/>
      <c r="Z116" s="101"/>
      <c r="AA116" s="77"/>
      <c r="AB116" s="77"/>
      <c r="AC116" s="77"/>
      <c r="AD116" s="77"/>
      <c r="AE116" s="80"/>
      <c r="AF116" s="80"/>
      <c r="AG116" s="89"/>
      <c r="AH116" s="1"/>
      <c r="AI116" s="1"/>
      <c r="AJ116" s="1"/>
      <c r="AK116" s="1"/>
      <c r="AL116" s="1"/>
      <c r="AM116" s="1"/>
    </row>
    <row r="117" spans="1:39" s="30" customFormat="1" ht="36">
      <c r="A117" s="84" t="s">
        <v>184</v>
      </c>
      <c r="B117" s="85" t="s">
        <v>146</v>
      </c>
      <c r="C117" s="100" t="s">
        <v>25</v>
      </c>
      <c r="D117" s="74">
        <v>1</v>
      </c>
      <c r="E117" s="86">
        <v>2021</v>
      </c>
      <c r="F117" s="86">
        <v>2021</v>
      </c>
      <c r="G117" s="74">
        <f t="shared" si="147"/>
        <v>0.71135757917399989</v>
      </c>
      <c r="H117" s="74">
        <f t="shared" si="148"/>
        <v>0.71135757917399989</v>
      </c>
      <c r="I117" s="74"/>
      <c r="J117" s="74"/>
      <c r="K117" s="74"/>
      <c r="L117" s="74"/>
      <c r="M117" s="77"/>
      <c r="N117" s="74"/>
      <c r="O117" s="77"/>
      <c r="P117" s="77">
        <f xml:space="preserve"> 1.041*1.034*1.031*0.641</f>
        <v>0.71135757917399989</v>
      </c>
      <c r="Q117" s="74"/>
      <c r="R117" s="74"/>
      <c r="S117" s="77"/>
      <c r="T117" s="99">
        <f t="shared" si="149"/>
        <v>0.71135757917399989</v>
      </c>
      <c r="U117" s="74"/>
      <c r="V117" s="77">
        <f xml:space="preserve"> 1.041*1.034*1.031*0.641</f>
        <v>0.71135757917399989</v>
      </c>
      <c r="W117" s="74"/>
      <c r="X117" s="74"/>
      <c r="Y117" s="74"/>
      <c r="Z117" s="101"/>
      <c r="AA117" s="77"/>
      <c r="AB117" s="77"/>
      <c r="AC117" s="77"/>
      <c r="AD117" s="77"/>
      <c r="AE117" s="80"/>
      <c r="AF117" s="80"/>
      <c r="AG117" s="89"/>
      <c r="AH117" s="1"/>
      <c r="AI117" s="1"/>
      <c r="AJ117" s="1"/>
      <c r="AK117" s="1"/>
      <c r="AL117" s="1"/>
      <c r="AM117" s="1"/>
    </row>
    <row r="118" spans="1:39" s="30" customFormat="1" ht="36">
      <c r="A118" s="84" t="s">
        <v>185</v>
      </c>
      <c r="B118" s="85" t="s">
        <v>147</v>
      </c>
      <c r="C118" s="100"/>
      <c r="D118" s="74">
        <v>1</v>
      </c>
      <c r="E118" s="86">
        <v>2022</v>
      </c>
      <c r="F118" s="86">
        <v>2022</v>
      </c>
      <c r="G118" s="74">
        <f t="shared" si="147"/>
        <v>1.2573605884620001</v>
      </c>
      <c r="H118" s="74">
        <f t="shared" si="148"/>
        <v>1.2573605884620001</v>
      </c>
      <c r="I118" s="74"/>
      <c r="J118" s="74"/>
      <c r="K118" s="74"/>
      <c r="L118" s="74"/>
      <c r="M118" s="77"/>
      <c r="N118" s="74"/>
      <c r="O118" s="98"/>
      <c r="P118" s="77"/>
      <c r="Q118" s="77">
        <f xml:space="preserve"> 1.041*1.034*1.031*1.03*1.1</f>
        <v>1.2573605884620001</v>
      </c>
      <c r="R118" s="74"/>
      <c r="S118" s="77"/>
      <c r="T118" s="99">
        <f>SUM(P118:S118)</f>
        <v>1.2573605884620001</v>
      </c>
      <c r="U118" s="74"/>
      <c r="V118" s="74"/>
      <c r="W118" s="77">
        <f xml:space="preserve"> 1.041*1.034*1.031*1.03*1.1</f>
        <v>1.2573605884620001</v>
      </c>
      <c r="X118" s="74"/>
      <c r="Y118" s="74"/>
      <c r="Z118" s="101"/>
      <c r="AA118" s="77"/>
      <c r="AB118" s="77"/>
      <c r="AC118" s="77"/>
      <c r="AD118" s="77"/>
      <c r="AE118" s="80"/>
      <c r="AF118" s="80"/>
      <c r="AG118" s="89"/>
      <c r="AH118" s="1"/>
      <c r="AI118" s="1"/>
      <c r="AJ118" s="1"/>
      <c r="AK118" s="1"/>
      <c r="AL118" s="1"/>
      <c r="AM118" s="1"/>
    </row>
    <row r="119" spans="1:39" s="30" customFormat="1" ht="48.75" customHeight="1">
      <c r="A119" s="84" t="s">
        <v>186</v>
      </c>
      <c r="B119" s="85" t="s">
        <v>148</v>
      </c>
      <c r="C119" s="100" t="s">
        <v>25</v>
      </c>
      <c r="D119" s="74">
        <v>1</v>
      </c>
      <c r="E119" s="86">
        <v>2022</v>
      </c>
      <c r="F119" s="86">
        <v>2022</v>
      </c>
      <c r="G119" s="74">
        <f t="shared" si="147"/>
        <v>7.3919757938400004</v>
      </c>
      <c r="H119" s="74">
        <f t="shared" si="148"/>
        <v>7.3919757938400004</v>
      </c>
      <c r="I119" s="74"/>
      <c r="J119" s="74"/>
      <c r="K119" s="74"/>
      <c r="L119" s="74"/>
      <c r="M119" s="77"/>
      <c r="N119" s="74"/>
      <c r="O119" s="77"/>
      <c r="P119" s="77"/>
      <c r="Q119" s="77">
        <f xml:space="preserve"> 6.12*1.034*1.031*1.03*1.1</f>
        <v>7.3919757938400004</v>
      </c>
      <c r="R119" s="74"/>
      <c r="S119" s="77"/>
      <c r="T119" s="99">
        <f t="shared" ref="T119" si="150">SUM(O119:S119)</f>
        <v>7.3919757938400004</v>
      </c>
      <c r="U119" s="74"/>
      <c r="V119" s="74"/>
      <c r="W119" s="77">
        <f xml:space="preserve"> T119</f>
        <v>7.3919757938400004</v>
      </c>
      <c r="X119" s="74"/>
      <c r="Y119" s="74"/>
      <c r="Z119" s="101"/>
      <c r="AA119" s="77"/>
      <c r="AB119" s="77"/>
      <c r="AC119" s="77"/>
      <c r="AD119" s="77"/>
      <c r="AE119" s="80"/>
      <c r="AF119" s="80"/>
      <c r="AG119" s="89"/>
      <c r="AH119" s="1"/>
      <c r="AI119" s="1"/>
      <c r="AJ119" s="1"/>
      <c r="AK119" s="1"/>
      <c r="AL119" s="1"/>
      <c r="AM119" s="1"/>
    </row>
    <row r="120" spans="1:39" s="30" customFormat="1" ht="36">
      <c r="A120" s="84" t="s">
        <v>187</v>
      </c>
      <c r="B120" s="85" t="s">
        <v>203</v>
      </c>
      <c r="C120" s="100" t="s">
        <v>25</v>
      </c>
      <c r="D120" s="74">
        <v>1</v>
      </c>
      <c r="E120" s="86">
        <v>2022</v>
      </c>
      <c r="F120" s="86">
        <v>2022</v>
      </c>
      <c r="G120" s="74">
        <f>T120</f>
        <v>1.1281953643745399</v>
      </c>
      <c r="H120" s="74">
        <f>G120</f>
        <v>1.1281953643745399</v>
      </c>
      <c r="I120" s="77"/>
      <c r="J120" s="74"/>
      <c r="K120" s="74"/>
      <c r="L120" s="74"/>
      <c r="M120" s="74"/>
      <c r="N120" s="74"/>
      <c r="O120" s="77"/>
      <c r="P120" s="74"/>
      <c r="Q120" s="77">
        <f xml:space="preserve"> 1.041*1.034*1.031*1.03*0.987</f>
        <v>1.1281953643745399</v>
      </c>
      <c r="R120" s="74"/>
      <c r="S120" s="74"/>
      <c r="T120" s="99">
        <f>SUM(O120:S120)</f>
        <v>1.1281953643745399</v>
      </c>
      <c r="U120" s="74"/>
      <c r="V120" s="74"/>
      <c r="W120" s="77">
        <f xml:space="preserve"> T120</f>
        <v>1.1281953643745399</v>
      </c>
      <c r="X120" s="74"/>
      <c r="Y120" s="74"/>
      <c r="Z120" s="101"/>
      <c r="AA120" s="77"/>
      <c r="AB120" s="77"/>
      <c r="AC120" s="77"/>
      <c r="AD120" s="77"/>
      <c r="AE120" s="80"/>
      <c r="AF120" s="80"/>
      <c r="AG120" s="89"/>
      <c r="AH120" s="1"/>
      <c r="AI120" s="1"/>
      <c r="AJ120" s="1"/>
      <c r="AK120" s="1"/>
      <c r="AL120" s="1"/>
      <c r="AM120" s="1"/>
    </row>
    <row r="121" spans="1:39" s="30" customFormat="1" ht="36">
      <c r="A121" s="84" t="s">
        <v>188</v>
      </c>
      <c r="B121" s="85" t="s">
        <v>204</v>
      </c>
      <c r="C121" s="100" t="s">
        <v>25</v>
      </c>
      <c r="D121" s="74">
        <v>1</v>
      </c>
      <c r="E121" s="86">
        <v>2022</v>
      </c>
      <c r="F121" s="86">
        <v>2022</v>
      </c>
      <c r="G121" s="74">
        <f>T121</f>
        <v>1.1281953643745399</v>
      </c>
      <c r="H121" s="74">
        <f>G121</f>
        <v>1.1281953643745399</v>
      </c>
      <c r="I121" s="77"/>
      <c r="J121" s="74"/>
      <c r="K121" s="74"/>
      <c r="L121" s="74"/>
      <c r="M121" s="74"/>
      <c r="N121" s="74"/>
      <c r="O121" s="77"/>
      <c r="P121" s="74"/>
      <c r="Q121" s="77">
        <f xml:space="preserve"> 1.041*1.034*1.031*1.03*0.987</f>
        <v>1.1281953643745399</v>
      </c>
      <c r="R121" s="74"/>
      <c r="S121" s="74"/>
      <c r="T121" s="99">
        <f>SUM(O121:S121)</f>
        <v>1.1281953643745399</v>
      </c>
      <c r="U121" s="74"/>
      <c r="V121" s="74"/>
      <c r="W121" s="77">
        <f xml:space="preserve"> T121</f>
        <v>1.1281953643745399</v>
      </c>
      <c r="X121" s="74"/>
      <c r="Y121" s="74"/>
      <c r="Z121" s="101"/>
      <c r="AA121" s="77"/>
      <c r="AB121" s="77"/>
      <c r="AC121" s="77"/>
      <c r="AD121" s="77"/>
      <c r="AE121" s="80"/>
      <c r="AF121" s="80"/>
      <c r="AG121" s="89"/>
      <c r="AH121" s="1"/>
      <c r="AI121" s="1"/>
      <c r="AJ121" s="1"/>
      <c r="AK121" s="1"/>
      <c r="AL121" s="1"/>
      <c r="AM121" s="1"/>
    </row>
    <row r="122" spans="1:39" s="30" customFormat="1" ht="36">
      <c r="A122" s="84" t="s">
        <v>189</v>
      </c>
      <c r="B122" s="85" t="s">
        <v>149</v>
      </c>
      <c r="C122" s="100" t="s">
        <v>25</v>
      </c>
      <c r="D122" s="74">
        <v>1</v>
      </c>
      <c r="E122" s="86">
        <v>2023</v>
      </c>
      <c r="F122" s="86">
        <v>2023</v>
      </c>
      <c r="G122" s="74">
        <f t="shared" ref="G122:G132" si="151">T122</f>
        <v>2.1738621519427559</v>
      </c>
      <c r="H122" s="74">
        <f t="shared" ref="H122:H132" si="152">G122</f>
        <v>2.1738621519427559</v>
      </c>
      <c r="I122" s="74"/>
      <c r="J122" s="74"/>
      <c r="K122" s="74"/>
      <c r="L122" s="74"/>
      <c r="M122" s="77"/>
      <c r="N122" s="74"/>
      <c r="O122" s="77"/>
      <c r="P122" s="77"/>
      <c r="Q122" s="98"/>
      <c r="R122" s="77">
        <f xml:space="preserve"> 1.041*1.034*1.031*1.03*1.028*1.85</f>
        <v>2.1738621519427559</v>
      </c>
      <c r="S122" s="77"/>
      <c r="T122" s="99">
        <f t="shared" ref="T122:T132" si="153">SUM(O122:S122)</f>
        <v>2.1738621519427559</v>
      </c>
      <c r="U122" s="74"/>
      <c r="V122" s="74"/>
      <c r="W122" s="80"/>
      <c r="X122" s="77">
        <f xml:space="preserve"> 1.041*1.034*1.031*1.03*1.028*1.85</f>
        <v>2.1738621519427559</v>
      </c>
      <c r="Y122" s="74"/>
      <c r="Z122" s="101"/>
      <c r="AA122" s="77"/>
      <c r="AB122" s="77"/>
      <c r="AC122" s="77"/>
      <c r="AD122" s="77"/>
      <c r="AE122" s="80"/>
      <c r="AF122" s="80"/>
      <c r="AG122" s="89"/>
      <c r="AH122" s="1"/>
      <c r="AI122" s="1"/>
      <c r="AJ122" s="1"/>
      <c r="AK122" s="1"/>
      <c r="AL122" s="1"/>
      <c r="AM122" s="1"/>
    </row>
    <row r="123" spans="1:39" s="30" customFormat="1" ht="36">
      <c r="A123" s="84" t="s">
        <v>190</v>
      </c>
      <c r="B123" s="85" t="s">
        <v>205</v>
      </c>
      <c r="C123" s="100" t="s">
        <v>25</v>
      </c>
      <c r="D123" s="74">
        <v>1</v>
      </c>
      <c r="E123" s="86">
        <v>2023</v>
      </c>
      <c r="F123" s="86">
        <v>2023</v>
      </c>
      <c r="G123" s="74">
        <f t="shared" si="151"/>
        <v>1.159784834577027</v>
      </c>
      <c r="H123" s="74">
        <f t="shared" si="152"/>
        <v>1.159784834577027</v>
      </c>
      <c r="I123" s="77"/>
      <c r="J123" s="74"/>
      <c r="K123" s="74"/>
      <c r="L123" s="74"/>
      <c r="M123" s="74"/>
      <c r="N123" s="74"/>
      <c r="O123" s="77"/>
      <c r="P123" s="74"/>
      <c r="Q123" s="74"/>
      <c r="R123" s="77">
        <f xml:space="preserve"> 1.041*1.034*1.031*1.03*1.028*0.987</f>
        <v>1.159784834577027</v>
      </c>
      <c r="S123" s="74"/>
      <c r="T123" s="99">
        <f t="shared" si="153"/>
        <v>1.159784834577027</v>
      </c>
      <c r="U123" s="74"/>
      <c r="V123" s="74"/>
      <c r="W123" s="74"/>
      <c r="X123" s="77">
        <f>T123</f>
        <v>1.159784834577027</v>
      </c>
      <c r="Y123" s="74"/>
      <c r="Z123" s="101"/>
      <c r="AA123" s="77"/>
      <c r="AB123" s="77"/>
      <c r="AC123" s="77"/>
      <c r="AD123" s="77"/>
      <c r="AE123" s="80"/>
      <c r="AF123" s="80"/>
      <c r="AG123" s="89"/>
      <c r="AH123" s="1"/>
      <c r="AI123" s="1"/>
      <c r="AJ123" s="1"/>
      <c r="AK123" s="1"/>
      <c r="AL123" s="1"/>
      <c r="AM123" s="1"/>
    </row>
    <row r="124" spans="1:39" s="30" customFormat="1" ht="36">
      <c r="A124" s="84" t="s">
        <v>191</v>
      </c>
      <c r="B124" s="85" t="s">
        <v>206</v>
      </c>
      <c r="C124" s="100" t="s">
        <v>25</v>
      </c>
      <c r="D124" s="74">
        <v>1</v>
      </c>
      <c r="E124" s="86">
        <v>2023</v>
      </c>
      <c r="F124" s="86">
        <v>2023</v>
      </c>
      <c r="G124" s="74">
        <f t="shared" si="151"/>
        <v>1.159784834577027</v>
      </c>
      <c r="H124" s="74">
        <f t="shared" si="152"/>
        <v>1.159784834577027</v>
      </c>
      <c r="I124" s="77"/>
      <c r="J124" s="74"/>
      <c r="K124" s="74"/>
      <c r="L124" s="74"/>
      <c r="M124" s="74"/>
      <c r="N124" s="74"/>
      <c r="O124" s="77"/>
      <c r="P124" s="74"/>
      <c r="Q124" s="74"/>
      <c r="R124" s="77">
        <f xml:space="preserve"> 1.041*1.034*1.031*1.03*1.028*0.987</f>
        <v>1.159784834577027</v>
      </c>
      <c r="S124" s="74"/>
      <c r="T124" s="99">
        <f t="shared" si="153"/>
        <v>1.159784834577027</v>
      </c>
      <c r="U124" s="74"/>
      <c r="V124" s="74"/>
      <c r="W124" s="74"/>
      <c r="X124" s="77">
        <f>T124</f>
        <v>1.159784834577027</v>
      </c>
      <c r="Y124" s="74"/>
      <c r="Z124" s="101"/>
      <c r="AA124" s="77"/>
      <c r="AB124" s="77"/>
      <c r="AC124" s="77"/>
      <c r="AD124" s="77"/>
      <c r="AE124" s="80"/>
      <c r="AF124" s="80"/>
      <c r="AG124" s="89"/>
      <c r="AH124" s="1"/>
      <c r="AI124" s="1"/>
      <c r="AJ124" s="1"/>
      <c r="AK124" s="1"/>
      <c r="AL124" s="1"/>
      <c r="AM124" s="1"/>
    </row>
    <row r="125" spans="1:39" s="30" customFormat="1" ht="36">
      <c r="A125" s="84" t="s">
        <v>192</v>
      </c>
      <c r="B125" s="85" t="s">
        <v>207</v>
      </c>
      <c r="C125" s="100" t="s">
        <v>25</v>
      </c>
      <c r="D125" s="74">
        <v>1</v>
      </c>
      <c r="E125" s="86">
        <v>2023</v>
      </c>
      <c r="F125" s="86">
        <v>2023</v>
      </c>
      <c r="G125" s="74">
        <f t="shared" si="151"/>
        <v>1.159784834577027</v>
      </c>
      <c r="H125" s="74">
        <f t="shared" si="152"/>
        <v>1.159784834577027</v>
      </c>
      <c r="I125" s="77"/>
      <c r="J125" s="74"/>
      <c r="K125" s="74"/>
      <c r="L125" s="74"/>
      <c r="M125" s="74"/>
      <c r="N125" s="74"/>
      <c r="O125" s="77"/>
      <c r="P125" s="74"/>
      <c r="Q125" s="74"/>
      <c r="R125" s="77">
        <f xml:space="preserve"> 1.041*1.034*1.031*1.03*1.028*0.987</f>
        <v>1.159784834577027</v>
      </c>
      <c r="S125" s="74"/>
      <c r="T125" s="99">
        <f t="shared" si="153"/>
        <v>1.159784834577027</v>
      </c>
      <c r="U125" s="74"/>
      <c r="V125" s="74"/>
      <c r="W125" s="74"/>
      <c r="X125" s="77">
        <f xml:space="preserve"> T125</f>
        <v>1.159784834577027</v>
      </c>
      <c r="Y125" s="74"/>
      <c r="Z125" s="101"/>
      <c r="AA125" s="77"/>
      <c r="AB125" s="77"/>
      <c r="AC125" s="77"/>
      <c r="AD125" s="77"/>
      <c r="AE125" s="80"/>
      <c r="AF125" s="80"/>
      <c r="AG125" s="89"/>
      <c r="AH125" s="1"/>
      <c r="AI125" s="1"/>
      <c r="AJ125" s="1"/>
      <c r="AK125" s="1"/>
      <c r="AL125" s="1"/>
      <c r="AM125" s="1"/>
    </row>
    <row r="126" spans="1:39" s="30" customFormat="1" ht="36">
      <c r="A126" s="84" t="s">
        <v>193</v>
      </c>
      <c r="B126" s="85" t="s">
        <v>208</v>
      </c>
      <c r="C126" s="100" t="s">
        <v>25</v>
      </c>
      <c r="D126" s="74">
        <v>1</v>
      </c>
      <c r="E126" s="86">
        <v>2023</v>
      </c>
      <c r="F126" s="86">
        <v>2023</v>
      </c>
      <c r="G126" s="74">
        <f t="shared" si="151"/>
        <v>1.159784834577027</v>
      </c>
      <c r="H126" s="74">
        <f t="shared" si="152"/>
        <v>1.159784834577027</v>
      </c>
      <c r="I126" s="77"/>
      <c r="J126" s="74"/>
      <c r="K126" s="74"/>
      <c r="L126" s="74"/>
      <c r="M126" s="74"/>
      <c r="N126" s="74"/>
      <c r="O126" s="77"/>
      <c r="P126" s="74"/>
      <c r="Q126" s="74"/>
      <c r="R126" s="77">
        <f xml:space="preserve"> 1.041*1.034*1.031*1.03*1.028*0.987</f>
        <v>1.159784834577027</v>
      </c>
      <c r="S126" s="74"/>
      <c r="T126" s="99">
        <f t="shared" si="153"/>
        <v>1.159784834577027</v>
      </c>
      <c r="U126" s="74"/>
      <c r="V126" s="74"/>
      <c r="W126" s="74"/>
      <c r="X126" s="77">
        <f xml:space="preserve"> T126</f>
        <v>1.159784834577027</v>
      </c>
      <c r="Y126" s="74"/>
      <c r="Z126" s="101"/>
      <c r="AA126" s="77"/>
      <c r="AB126" s="77"/>
      <c r="AC126" s="77"/>
      <c r="AD126" s="77"/>
      <c r="AE126" s="80"/>
      <c r="AF126" s="80"/>
      <c r="AG126" s="89"/>
      <c r="AH126" s="1"/>
      <c r="AI126" s="1"/>
      <c r="AJ126" s="1"/>
      <c r="AK126" s="1"/>
      <c r="AL126" s="1"/>
      <c r="AM126" s="1"/>
    </row>
    <row r="127" spans="1:39" s="30" customFormat="1" ht="36">
      <c r="A127" s="84" t="s">
        <v>194</v>
      </c>
      <c r="B127" s="85" t="s">
        <v>150</v>
      </c>
      <c r="C127" s="100" t="s">
        <v>25</v>
      </c>
      <c r="D127" s="74">
        <v>1</v>
      </c>
      <c r="E127" s="86">
        <v>2024</v>
      </c>
      <c r="F127" s="86">
        <v>2024</v>
      </c>
      <c r="G127" s="74">
        <f t="shared" si="151"/>
        <v>0.73614022828517733</v>
      </c>
      <c r="H127" s="74">
        <f t="shared" si="152"/>
        <v>0.73614022828517733</v>
      </c>
      <c r="I127" s="77"/>
      <c r="J127" s="74"/>
      <c r="K127" s="74"/>
      <c r="L127" s="74"/>
      <c r="M127" s="74"/>
      <c r="N127" s="74"/>
      <c r="O127" s="77"/>
      <c r="P127" s="74"/>
      <c r="Q127" s="74"/>
      <c r="R127" s="74"/>
      <c r="S127" s="77">
        <f xml:space="preserve"> 1.041*1.034*1.031*1.03*1.028*1.027*0.61</f>
        <v>0.73614022828517733</v>
      </c>
      <c r="T127" s="99">
        <f t="shared" si="153"/>
        <v>0.73614022828517733</v>
      </c>
      <c r="U127" s="74"/>
      <c r="V127" s="74"/>
      <c r="W127" s="74"/>
      <c r="X127" s="80"/>
      <c r="Y127" s="77">
        <f xml:space="preserve"> 1.041*1.034*1.031*1.03*1.028*1.027*0.61</f>
        <v>0.73614022828517733</v>
      </c>
      <c r="Z127" s="101"/>
      <c r="AA127" s="77"/>
      <c r="AB127" s="77"/>
      <c r="AC127" s="77"/>
      <c r="AD127" s="77"/>
      <c r="AE127" s="80"/>
      <c r="AF127" s="80"/>
      <c r="AG127" s="89"/>
      <c r="AH127" s="1"/>
      <c r="AI127" s="1"/>
      <c r="AJ127" s="1"/>
      <c r="AK127" s="1"/>
      <c r="AL127" s="1"/>
      <c r="AM127" s="1"/>
    </row>
    <row r="128" spans="1:39" s="30" customFormat="1" ht="36">
      <c r="A128" s="84" t="s">
        <v>195</v>
      </c>
      <c r="B128" s="85" t="s">
        <v>151</v>
      </c>
      <c r="C128" s="100" t="s">
        <v>25</v>
      </c>
      <c r="D128" s="74">
        <v>1</v>
      </c>
      <c r="E128" s="86">
        <v>2024</v>
      </c>
      <c r="F128" s="86">
        <v>2024</v>
      </c>
      <c r="G128" s="74">
        <f t="shared" si="151"/>
        <v>0.73614022828517733</v>
      </c>
      <c r="H128" s="74">
        <f t="shared" si="152"/>
        <v>0.73614022828517733</v>
      </c>
      <c r="I128" s="77"/>
      <c r="J128" s="74"/>
      <c r="K128" s="74"/>
      <c r="L128" s="74"/>
      <c r="M128" s="74"/>
      <c r="N128" s="74"/>
      <c r="O128" s="77"/>
      <c r="P128" s="74"/>
      <c r="Q128" s="74"/>
      <c r="R128" s="74"/>
      <c r="S128" s="77">
        <f xml:space="preserve"> 1.041*1.034*1.031*1.03*1.028*1.027*0.61</f>
        <v>0.73614022828517733</v>
      </c>
      <c r="T128" s="99">
        <f t="shared" si="153"/>
        <v>0.73614022828517733</v>
      </c>
      <c r="U128" s="74"/>
      <c r="V128" s="74"/>
      <c r="W128" s="74"/>
      <c r="X128" s="77"/>
      <c r="Y128" s="77">
        <f xml:space="preserve"> 1.041*1.034*1.031*1.03*1.028*1.027*0.61</f>
        <v>0.73614022828517733</v>
      </c>
      <c r="Z128" s="101"/>
      <c r="AA128" s="77"/>
      <c r="AB128" s="77"/>
      <c r="AC128" s="77"/>
      <c r="AD128" s="77"/>
      <c r="AE128" s="80"/>
      <c r="AF128" s="80"/>
      <c r="AG128" s="89"/>
      <c r="AH128" s="1"/>
      <c r="AI128" s="1"/>
      <c r="AJ128" s="1"/>
      <c r="AK128" s="1"/>
      <c r="AL128" s="1"/>
      <c r="AM128" s="1"/>
    </row>
    <row r="129" spans="1:39" s="30" customFormat="1" ht="36">
      <c r="A129" s="84" t="s">
        <v>196</v>
      </c>
      <c r="B129" s="85" t="s">
        <v>152</v>
      </c>
      <c r="C129" s="100" t="s">
        <v>25</v>
      </c>
      <c r="D129" s="74">
        <v>1</v>
      </c>
      <c r="E129" s="86">
        <v>2024</v>
      </c>
      <c r="F129" s="86">
        <v>2024</v>
      </c>
      <c r="G129" s="74">
        <f t="shared" si="151"/>
        <v>1.5084840743548718</v>
      </c>
      <c r="H129" s="74">
        <f t="shared" si="152"/>
        <v>1.5084840743548718</v>
      </c>
      <c r="I129" s="77"/>
      <c r="J129" s="74"/>
      <c r="K129" s="74"/>
      <c r="L129" s="74"/>
      <c r="M129" s="74"/>
      <c r="N129" s="74"/>
      <c r="O129" s="77"/>
      <c r="P129" s="74"/>
      <c r="Q129" s="74"/>
      <c r="R129" s="74"/>
      <c r="S129" s="77">
        <f xml:space="preserve"> 1.041*1.034*1.031*1.03*1.028*1.027*1.25</f>
        <v>1.5084840743548718</v>
      </c>
      <c r="T129" s="99">
        <f t="shared" si="153"/>
        <v>1.5084840743548718</v>
      </c>
      <c r="U129" s="74"/>
      <c r="V129" s="74"/>
      <c r="W129" s="74"/>
      <c r="X129" s="77"/>
      <c r="Y129" s="77">
        <f xml:space="preserve"> 1.041*1.034*1.031*1.03*1.028*1.027*1.25</f>
        <v>1.5084840743548718</v>
      </c>
      <c r="Z129" s="101"/>
      <c r="AA129" s="77"/>
      <c r="AB129" s="77"/>
      <c r="AC129" s="77"/>
      <c r="AD129" s="77"/>
      <c r="AE129" s="80"/>
      <c r="AF129" s="80"/>
      <c r="AG129" s="89"/>
      <c r="AH129" s="1"/>
      <c r="AI129" s="1"/>
      <c r="AJ129" s="1"/>
      <c r="AK129" s="1"/>
      <c r="AL129" s="1"/>
      <c r="AM129" s="1"/>
    </row>
    <row r="130" spans="1:39" s="30" customFormat="1" ht="54">
      <c r="A130" s="84" t="s">
        <v>197</v>
      </c>
      <c r="B130" s="85" t="s">
        <v>153</v>
      </c>
      <c r="C130" s="100" t="s">
        <v>25</v>
      </c>
      <c r="D130" s="74">
        <v>1</v>
      </c>
      <c r="E130" s="86">
        <v>2024</v>
      </c>
      <c r="F130" s="86">
        <v>2024</v>
      </c>
      <c r="G130" s="74">
        <f t="shared" si="151"/>
        <v>6.7338729079201469</v>
      </c>
      <c r="H130" s="74">
        <f t="shared" si="152"/>
        <v>6.7338729079201469</v>
      </c>
      <c r="I130" s="77"/>
      <c r="J130" s="74"/>
      <c r="K130" s="74"/>
      <c r="L130" s="74"/>
      <c r="M130" s="74"/>
      <c r="N130" s="74"/>
      <c r="O130" s="77"/>
      <c r="P130" s="74"/>
      <c r="Q130" s="74"/>
      <c r="R130" s="74"/>
      <c r="S130" s="77">
        <f xml:space="preserve"> 1.041*1.034*1.031*1.03*1.028*1.027*5.58</f>
        <v>6.7338729079201469</v>
      </c>
      <c r="T130" s="99">
        <f t="shared" si="153"/>
        <v>6.7338729079201469</v>
      </c>
      <c r="U130" s="80"/>
      <c r="V130" s="74"/>
      <c r="W130" s="74"/>
      <c r="X130" s="77"/>
      <c r="Y130" s="77">
        <f xml:space="preserve"> S130</f>
        <v>6.7338729079201469</v>
      </c>
      <c r="Z130" s="101"/>
      <c r="AA130" s="77"/>
      <c r="AB130" s="77"/>
      <c r="AC130" s="77"/>
      <c r="AD130" s="77"/>
      <c r="AE130" s="80"/>
      <c r="AF130" s="80"/>
      <c r="AG130" s="89"/>
      <c r="AH130" s="1"/>
      <c r="AI130" s="1"/>
      <c r="AJ130" s="1"/>
      <c r="AK130" s="1"/>
      <c r="AL130" s="1"/>
      <c r="AM130" s="1"/>
    </row>
    <row r="131" spans="1:39" s="30" customFormat="1" ht="36">
      <c r="A131" s="84" t="s">
        <v>198</v>
      </c>
      <c r="B131" s="85" t="s">
        <v>154</v>
      </c>
      <c r="C131" s="100" t="s">
        <v>25</v>
      </c>
      <c r="D131" s="74">
        <v>1</v>
      </c>
      <c r="E131" s="86">
        <v>2024</v>
      </c>
      <c r="F131" s="86">
        <v>2024</v>
      </c>
      <c r="G131" s="74">
        <f t="shared" ref="G131" si="154">T131</f>
        <v>8.2061533644905023</v>
      </c>
      <c r="H131" s="74">
        <f t="shared" ref="H131" si="155">G131</f>
        <v>8.2061533644905023</v>
      </c>
      <c r="I131" s="74"/>
      <c r="J131" s="74"/>
      <c r="K131" s="74"/>
      <c r="L131" s="74"/>
      <c r="M131" s="77"/>
      <c r="N131" s="74"/>
      <c r="O131" s="77"/>
      <c r="P131" s="77"/>
      <c r="Q131" s="74"/>
      <c r="R131" s="74"/>
      <c r="S131" s="77">
        <f xml:space="preserve"> 1.041*1.034*1.031*1.03*1.028*1.027*6.8</f>
        <v>8.2061533644905023</v>
      </c>
      <c r="T131" s="99">
        <f t="shared" ref="T131" si="156">SUM(O131:S131)</f>
        <v>8.2061533644905023</v>
      </c>
      <c r="U131" s="74"/>
      <c r="V131" s="74"/>
      <c r="W131" s="74"/>
      <c r="X131" s="74"/>
      <c r="Y131" s="77">
        <f xml:space="preserve"> 1.041*1.034*1.031*1.03*1.028*1.027*6.8</f>
        <v>8.2061533644905023</v>
      </c>
      <c r="Z131" s="101"/>
      <c r="AA131" s="77"/>
      <c r="AB131" s="77"/>
      <c r="AC131" s="77"/>
      <c r="AD131" s="77"/>
      <c r="AE131" s="80"/>
      <c r="AF131" s="80"/>
      <c r="AG131" s="89"/>
      <c r="AH131" s="1"/>
      <c r="AI131" s="1"/>
      <c r="AJ131" s="1"/>
      <c r="AK131" s="1"/>
      <c r="AL131" s="1"/>
      <c r="AM131" s="1"/>
    </row>
    <row r="132" spans="1:39" s="110" customFormat="1" ht="36">
      <c r="A132" s="84" t="s">
        <v>294</v>
      </c>
      <c r="B132" s="85" t="s">
        <v>264</v>
      </c>
      <c r="C132" s="100" t="s">
        <v>25</v>
      </c>
      <c r="D132" s="74">
        <v>1</v>
      </c>
      <c r="E132" s="86">
        <v>2020</v>
      </c>
      <c r="F132" s="86">
        <v>2020</v>
      </c>
      <c r="G132" s="74">
        <f t="shared" si="151"/>
        <v>3.2839138976300579</v>
      </c>
      <c r="H132" s="74">
        <f t="shared" si="152"/>
        <v>3.2839138976300579</v>
      </c>
      <c r="I132" s="74"/>
      <c r="J132" s="74"/>
      <c r="K132" s="74"/>
      <c r="L132" s="74"/>
      <c r="M132" s="77"/>
      <c r="N132" s="74"/>
      <c r="O132" s="77">
        <f xml:space="preserve"> 1.041*1.034*3.050847457</f>
        <v>3.2839138976300579</v>
      </c>
      <c r="P132" s="77"/>
      <c r="Q132" s="74"/>
      <c r="R132" s="74"/>
      <c r="S132" s="77"/>
      <c r="T132" s="99">
        <f t="shared" si="153"/>
        <v>3.2839138976300579</v>
      </c>
      <c r="U132" s="74">
        <f>O132</f>
        <v>3.2839138976300579</v>
      </c>
      <c r="V132" s="74"/>
      <c r="W132" s="74"/>
      <c r="X132" s="74"/>
      <c r="Y132" s="77"/>
      <c r="Z132" s="101"/>
      <c r="AA132" s="77"/>
      <c r="AB132" s="77"/>
      <c r="AC132" s="77"/>
      <c r="AD132" s="77"/>
      <c r="AE132" s="80"/>
      <c r="AF132" s="80"/>
      <c r="AG132" s="89"/>
      <c r="AH132" s="1"/>
      <c r="AI132" s="1"/>
      <c r="AJ132" s="41"/>
      <c r="AK132" s="41"/>
      <c r="AL132" s="41"/>
      <c r="AM132" s="41"/>
    </row>
    <row r="133" spans="1:39" s="142" customFormat="1" ht="126" customHeight="1">
      <c r="A133" s="159" t="s">
        <v>52</v>
      </c>
      <c r="B133" s="160" t="s">
        <v>53</v>
      </c>
      <c r="C133" s="161" t="s">
        <v>29</v>
      </c>
      <c r="D133" s="162" t="str">
        <f>N133</f>
        <v xml:space="preserve">                   14,685 км КЛ-0,4 кВ                  25,05 км ВЛ-0,4 кВ                        </v>
      </c>
      <c r="E133" s="161">
        <v>2020</v>
      </c>
      <c r="F133" s="161">
        <v>2024</v>
      </c>
      <c r="G133" s="163">
        <f>T133</f>
        <v>91.805819431400465</v>
      </c>
      <c r="H133" s="163">
        <f>G133</f>
        <v>91.805819431400465</v>
      </c>
      <c r="I133" s="162" t="s">
        <v>281</v>
      </c>
      <c r="J133" s="162" t="s">
        <v>281</v>
      </c>
      <c r="K133" s="162" t="s">
        <v>281</v>
      </c>
      <c r="L133" s="162" t="s">
        <v>281</v>
      </c>
      <c r="M133" s="162" t="s">
        <v>281</v>
      </c>
      <c r="N133" s="162" t="s">
        <v>282</v>
      </c>
      <c r="O133" s="162">
        <f>(1.05*1.048*3.125023*2.937)+(1.05*1.048*1.306512*5.01045)</f>
        <v>17.303135923780559</v>
      </c>
      <c r="P133" s="162">
        <f>(1.05*1.048*1.031*3.125023*2.937)+(1.05*1.048*1.031*1.306512*5.01045)</f>
        <v>17.839533137417757</v>
      </c>
      <c r="Q133" s="162">
        <f>(1.05*1.048*1.031*1.03*3.125023*2.937)+(1.05*1.048*1.031*1.03*1.306512*5.01045)</f>
        <v>18.374719131540289</v>
      </c>
      <c r="R133" s="162">
        <f>(1.05*1.048*1.031*1.03*1.028*3.125023*2.937)+(1.05*1.048*1.031*1.03*1.028*1.306512*5.01045)</f>
        <v>18.889211267223416</v>
      </c>
      <c r="S133" s="162">
        <f>(1.05*1.048*1.031*1.03*1.028*1.027*3.125023*2.937)+(1.05*1.048*1.031*1.03*1.028*1.027*1.306512*5.01045)</f>
        <v>19.399219971438445</v>
      </c>
      <c r="T133" s="163">
        <f>SUM(O133:S133)</f>
        <v>91.805819431400465</v>
      </c>
      <c r="U133" s="163"/>
      <c r="V133" s="162"/>
      <c r="W133" s="162"/>
      <c r="X133" s="162"/>
      <c r="Y133" s="163"/>
      <c r="Z133" s="163">
        <f>O133</f>
        <v>17.303135923780559</v>
      </c>
      <c r="AA133" s="163">
        <f t="shared" ref="AA133:AB133" si="157">P133</f>
        <v>17.839533137417757</v>
      </c>
      <c r="AB133" s="163">
        <f t="shared" si="157"/>
        <v>18.374719131540289</v>
      </c>
      <c r="AC133" s="163">
        <f>R133</f>
        <v>18.889211267223416</v>
      </c>
      <c r="AD133" s="163">
        <f>S133</f>
        <v>19.399219971438445</v>
      </c>
      <c r="AE133" s="163"/>
      <c r="AF133" s="163"/>
      <c r="AG133" s="164"/>
      <c r="AH133" s="134"/>
      <c r="AI133" s="134"/>
      <c r="AJ133" s="134"/>
      <c r="AK133" s="134"/>
      <c r="AL133" s="134"/>
      <c r="AM133" s="134"/>
    </row>
    <row r="134" spans="1:39" s="142" customFormat="1" ht="104.4">
      <c r="A134" s="135" t="s">
        <v>199</v>
      </c>
      <c r="B134" s="144" t="s">
        <v>65</v>
      </c>
      <c r="C134" s="137" t="s">
        <v>29</v>
      </c>
      <c r="D134" s="139" t="str">
        <f>N134</f>
        <v>6,405 км КЛ-0,4 кВ                  5,615 км ВЛ-0,4 кВ               1,385 км КЛ-10 кВ</v>
      </c>
      <c r="E134" s="137">
        <v>2020</v>
      </c>
      <c r="F134" s="137">
        <v>2024</v>
      </c>
      <c r="G134" s="138">
        <f>R134+S134+O134+P134+Q134</f>
        <v>33.242284291706611</v>
      </c>
      <c r="H134" s="138">
        <f>G134</f>
        <v>33.242284291706611</v>
      </c>
      <c r="I134" s="139" t="s">
        <v>126</v>
      </c>
      <c r="J134" s="139" t="s">
        <v>126</v>
      </c>
      <c r="K134" s="139" t="s">
        <v>126</v>
      </c>
      <c r="L134" s="139" t="s">
        <v>126</v>
      </c>
      <c r="M134" s="139" t="s">
        <v>126</v>
      </c>
      <c r="N134" s="139" t="s">
        <v>127</v>
      </c>
      <c r="O134" s="139">
        <f>(1.05*1.048*1.281*2.829)+(1.05*1.048*1.123*1.238)+(1.05*1.048*0.277*2.453)</f>
        <v>6.2653518816</v>
      </c>
      <c r="P134" s="139">
        <f>(1.05*1.048*1.031*1.281*2.829)+(1.05*1.048*1.031*1.123*1.238)+(1.05*1.048*1.031*0.277*2.453)</f>
        <v>6.4595777899295994</v>
      </c>
      <c r="Q134" s="139">
        <f>(1.05*1.048*1.031*1.03*1.281*2.829)+(1.05*1.048*1.031*1.03*1.123*1.238)+(1.05*1.048*1.031*1.03*0.277*2.453)</f>
        <v>6.6533651236274878</v>
      </c>
      <c r="R134" s="139">
        <f>(1.05*1.048*1.031*1.03*1.028*1.281*2.829)+(1.05*1.048*1.031*1.03*1.028*1.123*1.238)+(1.05*1.048*1.031*1.03*1.028*0.277*2.453)</f>
        <v>6.8396593470890572</v>
      </c>
      <c r="S134" s="139">
        <f>(1.05*1.048*1.031*1.03*1.028*1.027*1.281*2.829)+(1.05*1.048*1.031*1.03*1.028*1.027*1.123*1.238)+(1.05*1.048*1.031*1.03*1.028*1.027*0.277*2.453)</f>
        <v>7.0243301494604609</v>
      </c>
      <c r="T134" s="138">
        <f>O134+P134+Q134+R134+S134</f>
        <v>33.242284291706611</v>
      </c>
      <c r="U134" s="138"/>
      <c r="V134" s="139"/>
      <c r="W134" s="139"/>
      <c r="X134" s="139"/>
      <c r="Y134" s="138"/>
      <c r="Z134" s="138">
        <f>O134</f>
        <v>6.2653518816</v>
      </c>
      <c r="AA134" s="138">
        <f>P134</f>
        <v>6.4595777899295994</v>
      </c>
      <c r="AB134" s="138">
        <f>Q134</f>
        <v>6.6533651236274878</v>
      </c>
      <c r="AC134" s="138">
        <f>R134</f>
        <v>6.8396593470890572</v>
      </c>
      <c r="AD134" s="138">
        <f>S134</f>
        <v>7.0243301494604609</v>
      </c>
      <c r="AE134" s="140"/>
      <c r="AF134" s="140"/>
      <c r="AG134" s="141"/>
      <c r="AH134" s="134"/>
      <c r="AI134" s="134"/>
      <c r="AJ134" s="134"/>
      <c r="AK134" s="134"/>
      <c r="AL134" s="134"/>
      <c r="AM134" s="134"/>
    </row>
    <row r="135" spans="1:39" s="28" customFormat="1" ht="16.2">
      <c r="A135" s="180" t="s">
        <v>54</v>
      </c>
      <c r="B135" s="181"/>
      <c r="C135" s="102"/>
      <c r="D135" s="102"/>
      <c r="E135" s="102"/>
      <c r="F135" s="102"/>
      <c r="G135" s="103"/>
      <c r="H135" s="103"/>
      <c r="I135" s="29"/>
      <c r="J135" s="29"/>
      <c r="K135" s="29"/>
      <c r="L135" s="29"/>
      <c r="M135" s="29"/>
      <c r="N135" s="29"/>
      <c r="O135" s="27"/>
      <c r="P135" s="27"/>
      <c r="Q135" s="27"/>
      <c r="R135" s="27"/>
      <c r="S135" s="27"/>
      <c r="T135" s="29"/>
      <c r="U135" s="104"/>
      <c r="V135" s="29"/>
      <c r="W135" s="29"/>
      <c r="X135" s="29"/>
      <c r="Y135" s="104"/>
      <c r="Z135" s="104"/>
      <c r="AA135" s="104"/>
      <c r="AB135" s="104"/>
      <c r="AC135" s="104"/>
      <c r="AD135" s="104"/>
      <c r="AE135" s="104"/>
      <c r="AF135" s="104"/>
      <c r="AG135" s="105"/>
      <c r="AH135" s="1"/>
      <c r="AI135" s="1"/>
      <c r="AJ135" s="1"/>
      <c r="AK135" s="1"/>
      <c r="AL135" s="1"/>
      <c r="AM135" s="1"/>
    </row>
    <row r="136" spans="1:39" s="28" customFormat="1" ht="31.2">
      <c r="A136" s="113"/>
      <c r="B136" s="114" t="s">
        <v>55</v>
      </c>
      <c r="C136" s="102"/>
      <c r="D136" s="102"/>
      <c r="E136" s="102"/>
      <c r="F136" s="102"/>
      <c r="G136" s="103"/>
      <c r="H136" s="103"/>
      <c r="I136" s="29"/>
      <c r="J136" s="29"/>
      <c r="K136" s="29"/>
      <c r="L136" s="29"/>
      <c r="M136" s="29"/>
      <c r="N136" s="29"/>
      <c r="O136" s="27"/>
      <c r="P136" s="27"/>
      <c r="Q136" s="27"/>
      <c r="R136" s="27"/>
      <c r="S136" s="27"/>
      <c r="T136" s="29"/>
      <c r="U136" s="104"/>
      <c r="V136" s="29"/>
      <c r="W136" s="29"/>
      <c r="X136" s="29"/>
      <c r="Y136" s="104"/>
      <c r="Z136" s="104"/>
      <c r="AA136" s="104"/>
      <c r="AB136" s="104"/>
      <c r="AC136" s="104"/>
      <c r="AD136" s="104"/>
      <c r="AE136" s="104"/>
      <c r="AF136" s="104"/>
      <c r="AG136" s="105"/>
      <c r="AH136" s="1"/>
      <c r="AI136" s="1"/>
      <c r="AJ136" s="1"/>
      <c r="AK136" s="1"/>
      <c r="AL136" s="1"/>
      <c r="AM136" s="1"/>
    </row>
    <row r="137" spans="1:39" s="28" customFormat="1" ht="16.2" thickBot="1">
      <c r="A137" s="106" t="s">
        <v>56</v>
      </c>
      <c r="B137" s="49"/>
      <c r="C137" s="49"/>
      <c r="D137" s="49"/>
      <c r="E137" s="49"/>
      <c r="F137" s="49"/>
      <c r="G137" s="44"/>
      <c r="H137" s="44"/>
      <c r="I137" s="44"/>
      <c r="J137" s="44"/>
      <c r="K137" s="44"/>
      <c r="L137" s="44"/>
      <c r="M137" s="44"/>
      <c r="N137" s="44"/>
      <c r="O137" s="34"/>
      <c r="P137" s="34"/>
      <c r="Q137" s="34"/>
      <c r="R137" s="34"/>
      <c r="S137" s="34"/>
      <c r="T137" s="44"/>
      <c r="U137" s="107"/>
      <c r="V137" s="44"/>
      <c r="W137" s="44"/>
      <c r="X137" s="44"/>
      <c r="Y137" s="107"/>
      <c r="Z137" s="107"/>
      <c r="AA137" s="107"/>
      <c r="AB137" s="107"/>
      <c r="AC137" s="107"/>
      <c r="AD137" s="107"/>
      <c r="AE137" s="107"/>
      <c r="AF137" s="107"/>
      <c r="AG137" s="108"/>
      <c r="AH137" s="1"/>
      <c r="AI137" s="1"/>
      <c r="AJ137" s="1"/>
      <c r="AK137" s="1"/>
      <c r="AL137" s="1"/>
      <c r="AM137" s="1"/>
    </row>
    <row r="138" spans="1:39">
      <c r="A138" s="3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35"/>
      <c r="P138" s="35"/>
      <c r="Q138" s="70"/>
      <c r="R138" s="35"/>
      <c r="S138" s="35"/>
      <c r="T138" s="35"/>
      <c r="U138" s="35"/>
      <c r="V138" s="35"/>
      <c r="W138" s="35"/>
      <c r="X138" s="35"/>
      <c r="Z138" s="1"/>
      <c r="AA138" s="1"/>
      <c r="AB138" s="1"/>
      <c r="AC138" s="1"/>
      <c r="AD138" s="1"/>
    </row>
    <row r="139" spans="1:39">
      <c r="A139" s="36"/>
      <c r="B139" s="1" t="s">
        <v>57</v>
      </c>
      <c r="G139" s="1"/>
      <c r="H139" s="1"/>
      <c r="I139" s="1"/>
      <c r="J139" s="1"/>
      <c r="L139" s="1"/>
      <c r="M139" s="1"/>
      <c r="N139" s="1"/>
      <c r="O139" s="2"/>
      <c r="S139" s="2"/>
      <c r="T139" s="1"/>
      <c r="W139" s="1"/>
      <c r="Z139" s="1"/>
      <c r="AA139" s="1"/>
      <c r="AB139" s="1"/>
      <c r="AC139" s="1"/>
      <c r="AD139" s="1"/>
    </row>
    <row r="140" spans="1:39">
      <c r="A140" s="37"/>
      <c r="B140" s="1" t="s">
        <v>58</v>
      </c>
      <c r="G140" s="1"/>
      <c r="H140" s="1"/>
      <c r="I140" s="1"/>
      <c r="J140" s="1"/>
      <c r="L140" s="1"/>
      <c r="M140" s="1"/>
      <c r="N140" s="1"/>
      <c r="O140" s="2"/>
      <c r="S140" s="2"/>
      <c r="T140" s="1"/>
      <c r="W140" s="1"/>
      <c r="Z140" s="1"/>
      <c r="AA140" s="1"/>
      <c r="AB140" s="1"/>
      <c r="AC140" s="1"/>
      <c r="AD140" s="1"/>
    </row>
    <row r="141" spans="1:39">
      <c r="A141" s="37"/>
      <c r="B141" s="16" t="s">
        <v>59</v>
      </c>
      <c r="G141" s="1"/>
      <c r="H141" s="1"/>
      <c r="I141" s="1"/>
      <c r="J141" s="1"/>
      <c r="L141" s="1"/>
      <c r="M141" s="112"/>
      <c r="N141" s="1"/>
      <c r="O141" s="2"/>
      <c r="P141" s="112"/>
      <c r="Q141" s="112"/>
      <c r="R141" s="112"/>
      <c r="S141" s="2"/>
      <c r="T141" s="1"/>
      <c r="W141" s="1"/>
      <c r="Z141" s="1"/>
      <c r="AA141" s="1"/>
      <c r="AB141" s="1"/>
      <c r="AC141" s="1"/>
      <c r="AD141" s="1"/>
    </row>
    <row r="142" spans="1:39">
      <c r="B142" s="167" t="s">
        <v>60</v>
      </c>
      <c r="C142" s="167"/>
      <c r="D142" s="167"/>
      <c r="E142" s="167"/>
      <c r="F142" s="167"/>
      <c r="G142" s="167"/>
      <c r="H142" s="167"/>
      <c r="I142" s="1"/>
      <c r="J142" s="1"/>
      <c r="L142" s="1"/>
      <c r="M142" s="1"/>
      <c r="N142" s="1"/>
      <c r="O142" s="2"/>
      <c r="P142" s="38"/>
      <c r="Q142" s="71"/>
      <c r="R142" s="38"/>
      <c r="S142" s="2"/>
      <c r="T142" s="39"/>
      <c r="U142" s="39"/>
      <c r="V142" s="39"/>
      <c r="W142" s="39"/>
      <c r="X142" s="39"/>
      <c r="Z142" s="1"/>
      <c r="AA142" s="1"/>
      <c r="AB142" s="1"/>
      <c r="AC142" s="1"/>
      <c r="AD142" s="1"/>
    </row>
    <row r="143" spans="1:39">
      <c r="B143" s="45"/>
      <c r="C143" s="40"/>
      <c r="D143" s="40"/>
      <c r="E143" s="40"/>
      <c r="F143" s="40"/>
      <c r="G143" s="40"/>
      <c r="H143" s="40"/>
      <c r="I143" s="1"/>
      <c r="J143" s="1"/>
      <c r="L143" s="1"/>
      <c r="M143" s="1"/>
      <c r="N143" s="1"/>
      <c r="O143" s="2"/>
      <c r="P143" s="38"/>
      <c r="Q143" s="71"/>
      <c r="R143" s="38"/>
      <c r="S143" s="2"/>
      <c r="T143" s="39"/>
      <c r="U143" s="39"/>
      <c r="V143" s="39"/>
      <c r="W143" s="39"/>
      <c r="X143" s="39"/>
      <c r="Z143" s="1"/>
      <c r="AA143" s="1"/>
      <c r="AB143" s="1"/>
      <c r="AC143" s="1"/>
      <c r="AD143" s="1"/>
    </row>
    <row r="144" spans="1:39">
      <c r="A144" s="37"/>
      <c r="B144" s="167" t="s">
        <v>61</v>
      </c>
      <c r="C144" s="167"/>
      <c r="D144" s="167"/>
      <c r="E144" s="167"/>
      <c r="F144" s="167"/>
      <c r="G144" s="167"/>
      <c r="H144" s="167"/>
      <c r="I144" s="1"/>
      <c r="J144" s="1"/>
      <c r="L144" s="1"/>
      <c r="M144" s="1"/>
      <c r="N144" s="1"/>
      <c r="O144" s="2"/>
      <c r="S144" s="2"/>
      <c r="T144" s="1"/>
      <c r="W144" s="1"/>
      <c r="Z144" s="1"/>
      <c r="AA144" s="1"/>
      <c r="AB144" s="1"/>
      <c r="AC144" s="1"/>
      <c r="AD144" s="1"/>
    </row>
    <row r="145" spans="1:39">
      <c r="A145" s="37"/>
      <c r="B145" s="167"/>
      <c r="C145" s="167"/>
      <c r="D145" s="167"/>
      <c r="E145" s="167"/>
      <c r="F145" s="167"/>
      <c r="G145" s="167"/>
      <c r="H145" s="167"/>
      <c r="I145" s="1"/>
      <c r="J145" s="1"/>
      <c r="L145" s="1"/>
      <c r="M145" s="1"/>
      <c r="N145" s="1"/>
      <c r="O145" s="2"/>
      <c r="S145" s="2"/>
      <c r="T145" s="1"/>
      <c r="W145" s="1"/>
      <c r="Z145" s="1"/>
      <c r="AA145" s="1"/>
      <c r="AB145" s="1"/>
      <c r="AC145" s="1"/>
      <c r="AD145" s="1"/>
    </row>
    <row r="146" spans="1:39">
      <c r="A146" s="37"/>
      <c r="G146" s="1"/>
      <c r="H146" s="1"/>
      <c r="I146" s="1"/>
      <c r="J146" s="1"/>
      <c r="L146" s="1"/>
      <c r="M146" s="1"/>
      <c r="N146" s="1"/>
      <c r="O146" s="2"/>
      <c r="S146" s="2"/>
      <c r="T146" s="1"/>
      <c r="W146" s="1"/>
      <c r="Z146" s="1"/>
      <c r="AA146" s="1"/>
      <c r="AB146" s="1"/>
      <c r="AC146" s="1"/>
      <c r="AD146" s="1"/>
    </row>
    <row r="147" spans="1:39" ht="22.8">
      <c r="B147" s="126" t="s">
        <v>62</v>
      </c>
      <c r="G147" s="1"/>
      <c r="H147" s="1"/>
      <c r="I147" s="1"/>
      <c r="J147" s="1"/>
      <c r="L147" s="1"/>
      <c r="M147" s="1"/>
      <c r="N147" s="1"/>
      <c r="O147" s="2"/>
      <c r="S147" s="2"/>
      <c r="T147" s="2"/>
      <c r="U147" s="2"/>
      <c r="V147" s="2"/>
      <c r="W147" s="2"/>
      <c r="X147" s="2"/>
      <c r="Z147" s="1"/>
      <c r="AA147" s="1"/>
      <c r="AB147" s="1"/>
      <c r="AC147" s="1"/>
      <c r="AD147" s="1"/>
    </row>
    <row r="148" spans="1:39" ht="21">
      <c r="B148" s="13"/>
      <c r="C148" s="13"/>
      <c r="D148" s="13"/>
      <c r="E148" s="13"/>
      <c r="F148" s="13"/>
      <c r="G148" s="13"/>
      <c r="H148" s="13"/>
      <c r="I148" s="13"/>
      <c r="J148" s="13"/>
      <c r="L148" s="1"/>
      <c r="M148" s="1"/>
      <c r="N148" s="1"/>
      <c r="O148" s="2"/>
      <c r="S148" s="2"/>
      <c r="T148" s="1"/>
      <c r="W148" s="1"/>
      <c r="Z148" s="1"/>
      <c r="AA148" s="1"/>
      <c r="AB148" s="1"/>
      <c r="AC148" s="1"/>
      <c r="AD148" s="1"/>
    </row>
    <row r="149" spans="1:39" s="13" customFormat="1" ht="21">
      <c r="B149" s="13" t="s">
        <v>63</v>
      </c>
      <c r="I149" s="13" t="s">
        <v>64</v>
      </c>
      <c r="Q149" s="68"/>
      <c r="AH149" s="1"/>
      <c r="AI149" s="1"/>
      <c r="AJ149" s="1"/>
      <c r="AK149" s="1"/>
      <c r="AL149" s="1"/>
      <c r="AM149" s="1"/>
    </row>
    <row r="150" spans="1:39" s="13" customFormat="1" ht="21">
      <c r="Q150" s="68"/>
      <c r="AH150" s="1"/>
      <c r="AI150" s="1"/>
      <c r="AJ150" s="1"/>
      <c r="AK150" s="1"/>
      <c r="AL150" s="1"/>
      <c r="AM150" s="1"/>
    </row>
    <row r="151" spans="1:39" s="13" customFormat="1" ht="21">
      <c r="Q151" s="68"/>
      <c r="AH151" s="1"/>
      <c r="AI151" s="1"/>
      <c r="AJ151" s="1"/>
      <c r="AK151" s="1"/>
      <c r="AL151" s="1"/>
      <c r="AM151" s="1"/>
    </row>
    <row r="152" spans="1:39" ht="21">
      <c r="B152" s="13" t="s">
        <v>125</v>
      </c>
      <c r="C152" s="13"/>
      <c r="D152" s="13"/>
      <c r="E152" s="13"/>
      <c r="F152" s="13"/>
      <c r="G152" s="13"/>
      <c r="H152" s="13"/>
      <c r="I152" s="13" t="s">
        <v>124</v>
      </c>
      <c r="J152" s="13"/>
      <c r="L152" s="1"/>
      <c r="M152" s="1"/>
      <c r="N152" s="1"/>
      <c r="O152" s="2"/>
      <c r="S152" s="2"/>
      <c r="T152" s="1"/>
      <c r="W152" s="1"/>
      <c r="Z152" s="1"/>
      <c r="AA152" s="1"/>
      <c r="AB152" s="1"/>
      <c r="AC152" s="1"/>
      <c r="AD152" s="1"/>
    </row>
    <row r="153" spans="1:39" ht="21">
      <c r="B153" s="13"/>
      <c r="C153" s="13"/>
      <c r="D153" s="13"/>
      <c r="E153" s="13"/>
      <c r="F153" s="13"/>
      <c r="G153" s="13"/>
      <c r="H153" s="13"/>
      <c r="I153" s="13"/>
      <c r="J153" s="13"/>
      <c r="L153" s="1"/>
      <c r="M153" s="1"/>
      <c r="N153" s="1"/>
      <c r="O153" s="2"/>
      <c r="S153" s="2"/>
      <c r="T153" s="1"/>
      <c r="W153" s="1"/>
      <c r="Z153" s="1"/>
      <c r="AA153" s="1"/>
      <c r="AB153" s="1"/>
      <c r="AC153" s="1"/>
      <c r="AD153" s="1"/>
    </row>
    <row r="154" spans="1:39" ht="21">
      <c r="B154" s="13"/>
      <c r="C154" s="13"/>
      <c r="D154" s="13"/>
      <c r="E154" s="13"/>
      <c r="F154" s="13"/>
      <c r="G154" s="13"/>
      <c r="H154" s="13"/>
      <c r="I154" s="13"/>
      <c r="J154" s="13"/>
      <c r="L154" s="1"/>
      <c r="M154" s="1"/>
      <c r="N154" s="1"/>
      <c r="O154" s="2"/>
      <c r="S154" s="2"/>
      <c r="T154" s="1"/>
      <c r="W154" s="1"/>
      <c r="Z154" s="1"/>
      <c r="AA154" s="1"/>
      <c r="AB154" s="1"/>
      <c r="AC154" s="1"/>
      <c r="AD154" s="1"/>
    </row>
    <row r="155" spans="1:39" ht="21">
      <c r="B155" s="13" t="s">
        <v>260</v>
      </c>
      <c r="C155" s="13"/>
      <c r="D155" s="13"/>
      <c r="E155" s="13"/>
      <c r="F155" s="13"/>
      <c r="G155" s="13"/>
      <c r="H155" s="13"/>
      <c r="I155" s="13" t="s">
        <v>261</v>
      </c>
      <c r="J155" s="13"/>
      <c r="L155" s="1"/>
      <c r="M155" s="1"/>
      <c r="N155" s="1"/>
      <c r="O155" s="2"/>
      <c r="S155" s="2"/>
      <c r="T155" s="1"/>
      <c r="W155" s="1"/>
      <c r="Z155" s="1"/>
      <c r="AA155" s="1"/>
      <c r="AB155" s="1"/>
      <c r="AC155" s="1"/>
      <c r="AD155" s="1"/>
    </row>
    <row r="156" spans="1:39" ht="21">
      <c r="B156" s="13"/>
      <c r="C156" s="13"/>
      <c r="D156" s="13"/>
      <c r="E156" s="13"/>
      <c r="F156" s="13"/>
      <c r="G156" s="13"/>
      <c r="H156" s="13"/>
      <c r="I156" s="13"/>
      <c r="J156" s="13"/>
      <c r="L156" s="1"/>
      <c r="M156" s="1"/>
      <c r="N156" s="1"/>
      <c r="O156" s="2"/>
      <c r="S156" s="2"/>
      <c r="T156" s="1"/>
      <c r="W156" s="1"/>
      <c r="Z156" s="1"/>
      <c r="AA156" s="1"/>
      <c r="AB156" s="1"/>
      <c r="AC156" s="1"/>
      <c r="AD156" s="1"/>
    </row>
    <row r="157" spans="1:39" ht="21">
      <c r="B157" s="13"/>
      <c r="C157" s="13"/>
      <c r="D157" s="13"/>
      <c r="E157" s="13"/>
      <c r="F157" s="13"/>
      <c r="G157" s="13"/>
      <c r="H157" s="13"/>
      <c r="I157" s="13"/>
      <c r="J157" s="13"/>
      <c r="L157" s="1"/>
      <c r="M157" s="1"/>
      <c r="N157" s="1"/>
      <c r="O157" s="2"/>
      <c r="S157" s="2"/>
      <c r="T157" s="1"/>
      <c r="W157" s="1"/>
      <c r="Z157" s="1"/>
      <c r="AA157" s="1"/>
      <c r="AB157" s="1"/>
      <c r="AC157" s="1"/>
      <c r="AD157" s="1"/>
    </row>
    <row r="158" spans="1:39" ht="21">
      <c r="B158" s="13" t="s">
        <v>262</v>
      </c>
      <c r="C158" s="13"/>
      <c r="D158" s="13"/>
      <c r="E158" s="13"/>
      <c r="F158" s="13"/>
      <c r="G158" s="13"/>
      <c r="H158" s="13"/>
      <c r="I158" s="13" t="s">
        <v>263</v>
      </c>
      <c r="J158" s="13"/>
      <c r="L158" s="1"/>
      <c r="M158" s="1"/>
      <c r="N158" s="1"/>
      <c r="O158" s="2"/>
      <c r="S158" s="2"/>
      <c r="T158" s="1"/>
      <c r="W158" s="1"/>
      <c r="Z158" s="1"/>
      <c r="AA158" s="1"/>
      <c r="AB158" s="1"/>
      <c r="AC158" s="1"/>
      <c r="AD158" s="1"/>
    </row>
    <row r="159" spans="1:39" ht="21">
      <c r="B159" s="13"/>
      <c r="C159" s="13"/>
      <c r="D159" s="13"/>
      <c r="E159" s="13"/>
      <c r="F159" s="13"/>
      <c r="G159" s="13"/>
      <c r="H159" s="13"/>
      <c r="I159" s="13"/>
      <c r="J159" s="13"/>
      <c r="L159" s="1"/>
      <c r="M159" s="1"/>
      <c r="N159" s="1"/>
      <c r="O159" s="2"/>
      <c r="S159" s="2"/>
      <c r="T159" s="1"/>
      <c r="W159" s="1"/>
      <c r="Z159" s="1"/>
      <c r="AA159" s="1"/>
      <c r="AB159" s="1"/>
      <c r="AC159" s="1"/>
      <c r="AD159" s="1"/>
    </row>
    <row r="160" spans="1:39" ht="21">
      <c r="B160" s="13"/>
      <c r="C160" s="13"/>
      <c r="D160" s="13"/>
      <c r="E160" s="13"/>
      <c r="F160" s="13"/>
      <c r="G160" s="13"/>
      <c r="H160" s="13"/>
      <c r="I160" s="13"/>
      <c r="J160" s="13"/>
      <c r="L160" s="1"/>
      <c r="M160" s="1"/>
      <c r="N160" s="1"/>
      <c r="O160" s="2"/>
      <c r="S160" s="2"/>
      <c r="T160" s="1"/>
      <c r="W160" s="1"/>
      <c r="Z160" s="1"/>
      <c r="AA160" s="1"/>
      <c r="AB160" s="1"/>
      <c r="AC160" s="1"/>
      <c r="AD160" s="1"/>
    </row>
    <row r="161" spans="7:30">
      <c r="G161" s="1"/>
      <c r="H161" s="1"/>
      <c r="I161" s="1"/>
      <c r="J161" s="1"/>
      <c r="L161" s="1"/>
      <c r="M161" s="1"/>
      <c r="N161" s="1"/>
      <c r="O161" s="2"/>
      <c r="S161" s="2"/>
      <c r="T161" s="1"/>
      <c r="W161" s="1"/>
      <c r="Z161" s="1"/>
      <c r="AA161" s="1"/>
      <c r="AB161" s="1"/>
      <c r="AC161" s="1"/>
      <c r="AD161" s="1"/>
    </row>
    <row r="162" spans="7:30">
      <c r="G162" s="1"/>
      <c r="H162" s="1"/>
      <c r="I162" s="1"/>
      <c r="J162" s="1"/>
      <c r="L162" s="1"/>
      <c r="M162" s="1"/>
      <c r="N162" s="1"/>
      <c r="O162" s="2"/>
      <c r="S162" s="2"/>
      <c r="T162" s="1"/>
      <c r="W162" s="1"/>
      <c r="Z162" s="1"/>
      <c r="AA162" s="1"/>
      <c r="AB162" s="1"/>
      <c r="AC162" s="1"/>
      <c r="AD162" s="1"/>
    </row>
    <row r="163" spans="7:30">
      <c r="G163" s="1"/>
      <c r="H163" s="1"/>
      <c r="I163" s="1"/>
      <c r="J163" s="1"/>
      <c r="L163" s="1"/>
      <c r="M163" s="1"/>
      <c r="N163" s="1"/>
      <c r="O163" s="2"/>
      <c r="S163" s="2"/>
      <c r="T163" s="1"/>
      <c r="W163" s="1"/>
      <c r="Z163" s="1"/>
      <c r="AA163" s="1"/>
      <c r="AB163" s="1"/>
      <c r="AC163" s="1"/>
      <c r="AD163" s="1"/>
    </row>
    <row r="164" spans="7:30">
      <c r="G164" s="1"/>
      <c r="H164" s="1"/>
      <c r="I164" s="1"/>
      <c r="J164" s="1"/>
      <c r="L164" s="1"/>
      <c r="M164" s="1"/>
      <c r="N164" s="1"/>
      <c r="O164" s="2"/>
      <c r="S164" s="2"/>
      <c r="T164" s="1"/>
      <c r="W164" s="1"/>
      <c r="Z164" s="1"/>
      <c r="AA164" s="1"/>
      <c r="AB164" s="1"/>
      <c r="AC164" s="1"/>
      <c r="AD164" s="1"/>
    </row>
    <row r="165" spans="7:30">
      <c r="G165" s="1"/>
      <c r="H165" s="1"/>
      <c r="I165" s="1"/>
      <c r="J165" s="1"/>
      <c r="L165" s="1"/>
      <c r="M165" s="1"/>
      <c r="N165" s="1"/>
      <c r="O165" s="2"/>
      <c r="S165" s="2"/>
      <c r="T165" s="1"/>
      <c r="W165" s="1"/>
      <c r="Z165" s="1"/>
      <c r="AA165" s="1"/>
      <c r="AB165" s="1"/>
      <c r="AC165" s="1"/>
      <c r="AD165" s="1"/>
    </row>
    <row r="166" spans="7:30">
      <c r="G166" s="1"/>
      <c r="H166" s="1"/>
      <c r="I166" s="1"/>
      <c r="J166" s="1"/>
      <c r="L166" s="1"/>
      <c r="M166" s="1"/>
      <c r="N166" s="1"/>
      <c r="O166" s="2"/>
      <c r="S166" s="2"/>
      <c r="T166" s="1"/>
      <c r="Z166" s="1"/>
      <c r="AA166" s="1"/>
      <c r="AB166" s="1"/>
      <c r="AC166" s="1"/>
      <c r="AD166" s="1"/>
    </row>
    <row r="167" spans="7:30">
      <c r="G167" s="1"/>
      <c r="H167" s="1"/>
      <c r="I167" s="1"/>
      <c r="J167" s="1"/>
      <c r="L167" s="1"/>
      <c r="M167" s="1"/>
      <c r="N167" s="1"/>
      <c r="O167" s="2"/>
      <c r="S167" s="2"/>
      <c r="T167" s="1"/>
      <c r="Z167" s="1"/>
      <c r="AA167" s="1"/>
      <c r="AB167" s="1"/>
      <c r="AC167" s="1"/>
      <c r="AD167" s="1"/>
    </row>
    <row r="168" spans="7:30">
      <c r="G168" s="1"/>
      <c r="H168" s="1"/>
      <c r="I168" s="1"/>
      <c r="J168" s="1"/>
      <c r="L168" s="1"/>
      <c r="M168" s="1"/>
      <c r="N168" s="1"/>
      <c r="O168" s="2"/>
      <c r="S168" s="2"/>
      <c r="T168" s="1"/>
      <c r="Z168" s="1"/>
      <c r="AA168" s="1"/>
      <c r="AB168" s="1"/>
      <c r="AC168" s="1"/>
      <c r="AD168" s="1"/>
    </row>
    <row r="169" spans="7:30">
      <c r="G169" s="1"/>
      <c r="H169" s="1"/>
      <c r="I169" s="1"/>
      <c r="J169" s="1"/>
      <c r="L169" s="1"/>
      <c r="M169" s="1"/>
      <c r="N169" s="1"/>
      <c r="O169" s="2"/>
      <c r="S169" s="2"/>
      <c r="T169" s="1"/>
      <c r="Z169" s="1"/>
      <c r="AA169" s="1"/>
      <c r="AB169" s="1"/>
      <c r="AC169" s="1"/>
      <c r="AD169" s="1"/>
    </row>
    <row r="170" spans="7:30">
      <c r="G170" s="1"/>
      <c r="H170" s="1"/>
      <c r="I170" s="1"/>
      <c r="J170" s="1"/>
      <c r="L170" s="1"/>
      <c r="M170" s="1"/>
      <c r="N170" s="1"/>
      <c r="O170" s="2"/>
      <c r="S170" s="2"/>
      <c r="T170" s="1"/>
      <c r="Z170" s="1"/>
      <c r="AA170" s="1"/>
      <c r="AB170" s="1"/>
      <c r="AC170" s="1"/>
      <c r="AD170" s="1"/>
    </row>
    <row r="171" spans="7:30">
      <c r="G171" s="1"/>
      <c r="H171" s="1"/>
      <c r="I171" s="1"/>
      <c r="J171" s="1"/>
      <c r="L171" s="1"/>
      <c r="M171" s="1"/>
      <c r="N171" s="1"/>
      <c r="O171" s="2"/>
      <c r="S171" s="2"/>
      <c r="T171" s="1"/>
      <c r="Z171" s="1"/>
      <c r="AA171" s="1"/>
      <c r="AB171" s="1"/>
      <c r="AC171" s="1"/>
      <c r="AD171" s="1"/>
    </row>
    <row r="172" spans="7:30">
      <c r="G172" s="1"/>
      <c r="H172" s="1"/>
      <c r="I172" s="1"/>
      <c r="J172" s="1"/>
      <c r="L172" s="1"/>
      <c r="M172" s="1"/>
      <c r="N172" s="1"/>
      <c r="O172" s="2"/>
      <c r="S172" s="2"/>
      <c r="T172" s="1"/>
      <c r="Z172" s="1"/>
      <c r="AA172" s="1"/>
      <c r="AB172" s="1"/>
      <c r="AC172" s="1"/>
      <c r="AD172" s="1"/>
    </row>
    <row r="173" spans="7:30">
      <c r="G173" s="1"/>
      <c r="H173" s="1"/>
      <c r="I173" s="1"/>
      <c r="J173" s="1"/>
      <c r="L173" s="1"/>
      <c r="M173" s="1"/>
      <c r="N173" s="1"/>
      <c r="O173" s="2"/>
      <c r="S173" s="2"/>
      <c r="T173" s="1"/>
      <c r="Z173" s="1"/>
      <c r="AA173" s="1"/>
      <c r="AB173" s="1"/>
      <c r="AC173" s="1"/>
      <c r="AD173" s="1"/>
    </row>
    <row r="174" spans="7:30">
      <c r="G174" s="1"/>
      <c r="H174" s="1"/>
      <c r="I174" s="1"/>
      <c r="J174" s="1"/>
      <c r="L174" s="1"/>
      <c r="M174" s="1"/>
      <c r="N174" s="1"/>
      <c r="O174" s="2"/>
      <c r="S174" s="2"/>
      <c r="T174" s="1"/>
      <c r="Z174" s="1"/>
      <c r="AA174" s="1"/>
      <c r="AB174" s="1"/>
      <c r="AC174" s="1"/>
      <c r="AD174" s="1"/>
    </row>
    <row r="175" spans="7:30">
      <c r="G175" s="1"/>
      <c r="H175" s="1"/>
      <c r="I175" s="1"/>
      <c r="J175" s="1"/>
      <c r="L175" s="1"/>
      <c r="M175" s="1"/>
      <c r="N175" s="1"/>
      <c r="O175" s="2"/>
      <c r="S175" s="2"/>
      <c r="T175" s="1"/>
      <c r="Z175" s="1"/>
      <c r="AA175" s="1"/>
      <c r="AB175" s="1"/>
      <c r="AC175" s="1"/>
      <c r="AD175" s="1"/>
    </row>
    <row r="176" spans="7:30">
      <c r="G176" s="1"/>
      <c r="H176" s="1"/>
      <c r="I176" s="1"/>
      <c r="J176" s="1"/>
      <c r="L176" s="1"/>
      <c r="M176" s="1"/>
      <c r="N176" s="1"/>
      <c r="O176" s="2"/>
      <c r="S176" s="2"/>
      <c r="T176" s="1"/>
      <c r="Z176" s="1"/>
      <c r="AA176" s="1"/>
      <c r="AB176" s="1"/>
      <c r="AC176" s="1"/>
      <c r="AD176" s="1"/>
    </row>
    <row r="177" spans="7:30">
      <c r="G177" s="1"/>
      <c r="H177" s="1"/>
      <c r="I177" s="1"/>
      <c r="J177" s="1"/>
      <c r="L177" s="1"/>
      <c r="M177" s="1"/>
      <c r="N177" s="1"/>
      <c r="O177" s="2"/>
      <c r="S177" s="2"/>
      <c r="T177" s="1"/>
      <c r="Z177" s="1"/>
      <c r="AA177" s="1"/>
      <c r="AB177" s="1"/>
      <c r="AC177" s="1"/>
      <c r="AD177" s="1"/>
    </row>
    <row r="178" spans="7:30">
      <c r="G178" s="1"/>
      <c r="H178" s="1"/>
      <c r="I178" s="1"/>
      <c r="J178" s="1"/>
      <c r="L178" s="1"/>
      <c r="M178" s="1"/>
      <c r="N178" s="1"/>
      <c r="O178" s="2"/>
      <c r="S178" s="2"/>
      <c r="T178" s="1"/>
      <c r="Z178" s="1"/>
      <c r="AA178" s="1"/>
      <c r="AB178" s="1"/>
      <c r="AC178" s="1"/>
      <c r="AD178" s="1"/>
    </row>
    <row r="179" spans="7:30">
      <c r="G179" s="1"/>
      <c r="H179" s="1"/>
      <c r="I179" s="1"/>
      <c r="J179" s="1"/>
      <c r="L179" s="1"/>
      <c r="M179" s="1"/>
      <c r="N179" s="1"/>
      <c r="O179" s="2"/>
      <c r="S179" s="2"/>
      <c r="T179" s="1"/>
      <c r="Z179" s="1"/>
      <c r="AA179" s="1"/>
      <c r="AB179" s="1"/>
      <c r="AC179" s="1"/>
      <c r="AD179" s="1"/>
    </row>
    <row r="180" spans="7:30">
      <c r="G180" s="1"/>
      <c r="H180" s="1"/>
      <c r="I180" s="1"/>
      <c r="J180" s="1"/>
      <c r="L180" s="1"/>
      <c r="M180" s="1"/>
      <c r="N180" s="1"/>
      <c r="O180" s="2"/>
      <c r="S180" s="2"/>
      <c r="T180" s="1"/>
      <c r="Z180" s="1"/>
      <c r="AA180" s="1"/>
      <c r="AB180" s="1"/>
      <c r="AC180" s="1"/>
      <c r="AD180" s="1"/>
    </row>
    <row r="181" spans="7:30">
      <c r="G181" s="1"/>
      <c r="H181" s="1"/>
      <c r="I181" s="1"/>
      <c r="J181" s="1"/>
      <c r="L181" s="1"/>
      <c r="M181" s="1"/>
      <c r="N181" s="1"/>
      <c r="O181" s="2"/>
      <c r="S181" s="2"/>
      <c r="T181" s="1"/>
      <c r="Z181" s="1"/>
      <c r="AA181" s="1"/>
      <c r="AB181" s="1"/>
      <c r="AC181" s="1"/>
      <c r="AD181" s="1"/>
    </row>
    <row r="182" spans="7:30">
      <c r="G182" s="1"/>
      <c r="H182" s="1"/>
      <c r="I182" s="1"/>
      <c r="J182" s="1"/>
      <c r="L182" s="1"/>
      <c r="M182" s="1"/>
      <c r="N182" s="1"/>
      <c r="O182" s="2"/>
      <c r="S182" s="2"/>
      <c r="T182" s="1"/>
      <c r="Z182" s="1"/>
      <c r="AA182" s="1"/>
      <c r="AB182" s="1"/>
      <c r="AC182" s="1"/>
      <c r="AD182" s="1"/>
    </row>
    <row r="183" spans="7:30">
      <c r="G183" s="1"/>
      <c r="H183" s="1"/>
      <c r="I183" s="1"/>
      <c r="J183" s="1"/>
      <c r="L183" s="1"/>
      <c r="M183" s="1"/>
      <c r="N183" s="1"/>
      <c r="O183" s="2"/>
      <c r="S183" s="2"/>
      <c r="T183" s="1"/>
      <c r="Z183" s="1"/>
      <c r="AA183" s="1"/>
      <c r="AB183" s="1"/>
      <c r="AC183" s="1"/>
      <c r="AD183" s="1"/>
    </row>
    <row r="184" spans="7:30">
      <c r="G184" s="1"/>
      <c r="H184" s="1"/>
      <c r="I184" s="1"/>
      <c r="J184" s="1"/>
      <c r="L184" s="1"/>
      <c r="M184" s="1"/>
      <c r="N184" s="1"/>
      <c r="O184" s="2"/>
      <c r="S184" s="2"/>
      <c r="T184" s="1"/>
      <c r="Z184" s="1"/>
      <c r="AA184" s="1"/>
      <c r="AB184" s="1"/>
      <c r="AC184" s="1"/>
      <c r="AD184" s="1"/>
    </row>
    <row r="185" spans="7:30">
      <c r="G185" s="1"/>
      <c r="H185" s="1"/>
      <c r="I185" s="1"/>
      <c r="J185" s="1"/>
      <c r="L185" s="1"/>
      <c r="M185" s="1"/>
      <c r="N185" s="1"/>
      <c r="O185" s="2"/>
      <c r="S185" s="2"/>
      <c r="T185" s="1"/>
      <c r="Z185" s="1"/>
      <c r="AA185" s="1"/>
      <c r="AB185" s="1"/>
      <c r="AC185" s="1"/>
      <c r="AD185" s="1"/>
    </row>
    <row r="186" spans="7:30">
      <c r="G186" s="1"/>
      <c r="H186" s="1"/>
      <c r="I186" s="1"/>
      <c r="J186" s="1"/>
      <c r="L186" s="1"/>
      <c r="M186" s="1"/>
      <c r="N186" s="1"/>
      <c r="O186" s="2"/>
      <c r="S186" s="2"/>
      <c r="T186" s="1"/>
      <c r="Z186" s="1"/>
      <c r="AA186" s="1"/>
      <c r="AB186" s="1"/>
      <c r="AC186" s="1"/>
      <c r="AD186" s="1"/>
    </row>
    <row r="187" spans="7:30">
      <c r="G187" s="1"/>
      <c r="H187" s="1"/>
      <c r="I187" s="1"/>
      <c r="J187" s="1"/>
      <c r="L187" s="1"/>
      <c r="M187" s="1"/>
      <c r="N187" s="1"/>
      <c r="O187" s="2"/>
      <c r="S187" s="2"/>
      <c r="T187" s="1"/>
      <c r="Z187" s="1"/>
      <c r="AA187" s="1"/>
      <c r="AB187" s="1"/>
      <c r="AC187" s="1"/>
      <c r="AD187" s="1"/>
    </row>
    <row r="188" spans="7:30">
      <c r="G188" s="1"/>
      <c r="H188" s="1"/>
      <c r="I188" s="1"/>
      <c r="J188" s="1"/>
      <c r="L188" s="1"/>
      <c r="M188" s="1"/>
      <c r="N188" s="1"/>
      <c r="O188" s="2"/>
      <c r="S188" s="2"/>
      <c r="T188" s="1"/>
      <c r="Z188" s="1"/>
      <c r="AA188" s="1"/>
      <c r="AB188" s="1"/>
      <c r="AC188" s="1"/>
      <c r="AD188" s="1"/>
    </row>
    <row r="189" spans="7:30">
      <c r="G189" s="1"/>
      <c r="H189" s="1"/>
      <c r="I189" s="1"/>
      <c r="J189" s="1"/>
      <c r="L189" s="1"/>
      <c r="M189" s="1"/>
      <c r="N189" s="1"/>
      <c r="O189" s="2"/>
      <c r="S189" s="2"/>
      <c r="T189" s="1"/>
      <c r="Z189" s="1"/>
      <c r="AA189" s="1"/>
      <c r="AB189" s="1"/>
      <c r="AC189" s="1"/>
      <c r="AD189" s="1"/>
    </row>
    <row r="190" spans="7:30">
      <c r="G190" s="1"/>
      <c r="H190" s="1"/>
      <c r="I190" s="1"/>
      <c r="J190" s="1"/>
      <c r="L190" s="1"/>
      <c r="M190" s="1"/>
      <c r="N190" s="1"/>
      <c r="O190" s="2"/>
      <c r="S190" s="2"/>
      <c r="T190" s="1"/>
      <c r="Z190" s="1"/>
      <c r="AA190" s="1"/>
      <c r="AB190" s="1"/>
      <c r="AC190" s="1"/>
      <c r="AD190" s="1"/>
    </row>
    <row r="191" spans="7:30">
      <c r="G191" s="1"/>
      <c r="H191" s="1"/>
      <c r="I191" s="1"/>
      <c r="J191" s="1"/>
      <c r="L191" s="1"/>
      <c r="M191" s="1"/>
      <c r="N191" s="1"/>
      <c r="O191" s="2"/>
      <c r="S191" s="2"/>
      <c r="T191" s="1"/>
      <c r="Z191" s="1"/>
      <c r="AA191" s="1"/>
      <c r="AB191" s="1"/>
      <c r="AC191" s="1"/>
      <c r="AD191" s="1"/>
    </row>
    <row r="192" spans="7:30">
      <c r="G192" s="1"/>
      <c r="H192" s="1"/>
      <c r="I192" s="1"/>
      <c r="J192" s="1"/>
      <c r="L192" s="1"/>
      <c r="M192" s="1"/>
      <c r="N192" s="1"/>
      <c r="O192" s="2"/>
      <c r="S192" s="2"/>
      <c r="T192" s="1"/>
      <c r="Z192" s="1"/>
      <c r="AA192" s="1"/>
      <c r="AB192" s="1"/>
      <c r="AC192" s="1"/>
      <c r="AD192" s="1"/>
    </row>
    <row r="193" spans="7:30">
      <c r="G193" s="1"/>
      <c r="H193" s="1"/>
      <c r="I193" s="1"/>
      <c r="J193" s="1"/>
      <c r="L193" s="1"/>
      <c r="M193" s="1"/>
      <c r="N193" s="1"/>
      <c r="O193" s="2"/>
      <c r="S193" s="2"/>
      <c r="T193" s="1"/>
      <c r="Z193" s="1"/>
      <c r="AA193" s="1"/>
      <c r="AB193" s="1"/>
      <c r="AC193" s="1"/>
      <c r="AD193" s="1"/>
    </row>
    <row r="194" spans="7:30">
      <c r="G194" s="1"/>
      <c r="H194" s="1"/>
      <c r="I194" s="1"/>
      <c r="J194" s="1"/>
      <c r="L194" s="1"/>
      <c r="M194" s="1"/>
      <c r="N194" s="1"/>
      <c r="O194" s="2"/>
      <c r="S194" s="2"/>
      <c r="T194" s="1"/>
      <c r="Z194" s="1"/>
      <c r="AA194" s="1"/>
      <c r="AB194" s="1"/>
      <c r="AC194" s="1"/>
      <c r="AD194" s="1"/>
    </row>
    <row r="195" spans="7:30">
      <c r="G195" s="1"/>
      <c r="H195" s="1"/>
      <c r="I195" s="1"/>
      <c r="J195" s="1"/>
      <c r="L195" s="1"/>
      <c r="M195" s="1"/>
      <c r="N195" s="1"/>
      <c r="O195" s="2"/>
      <c r="S195" s="2"/>
      <c r="T195" s="1"/>
      <c r="Z195" s="1"/>
      <c r="AA195" s="1"/>
      <c r="AB195" s="1"/>
      <c r="AC195" s="1"/>
      <c r="AD195" s="1"/>
    </row>
    <row r="196" spans="7:30">
      <c r="G196" s="1"/>
      <c r="H196" s="1"/>
      <c r="I196" s="1"/>
      <c r="J196" s="1"/>
      <c r="L196" s="1"/>
      <c r="M196" s="1"/>
      <c r="N196" s="1"/>
      <c r="O196" s="2"/>
      <c r="S196" s="2"/>
      <c r="T196" s="1"/>
      <c r="Z196" s="1"/>
      <c r="AA196" s="1"/>
      <c r="AB196" s="1"/>
      <c r="AC196" s="1"/>
      <c r="AD196" s="1"/>
    </row>
    <row r="197" spans="7:30">
      <c r="G197" s="1"/>
      <c r="H197" s="1"/>
      <c r="I197" s="1"/>
      <c r="J197" s="1"/>
      <c r="L197" s="1"/>
      <c r="M197" s="1"/>
      <c r="N197" s="1"/>
      <c r="O197" s="2"/>
      <c r="S197" s="2"/>
      <c r="T197" s="1"/>
      <c r="Z197" s="1"/>
      <c r="AA197" s="1"/>
      <c r="AB197" s="1"/>
      <c r="AC197" s="1"/>
      <c r="AD197" s="1"/>
    </row>
    <row r="198" spans="7:30">
      <c r="G198" s="1"/>
      <c r="H198" s="1"/>
      <c r="I198" s="1"/>
      <c r="J198" s="1"/>
      <c r="L198" s="1"/>
      <c r="M198" s="1"/>
      <c r="N198" s="1"/>
      <c r="O198" s="2"/>
      <c r="S198" s="2"/>
      <c r="T198" s="1"/>
      <c r="Z198" s="1"/>
      <c r="AA198" s="1"/>
      <c r="AB198" s="1"/>
      <c r="AC198" s="1"/>
      <c r="AD198" s="1"/>
    </row>
    <row r="199" spans="7:30">
      <c r="G199" s="1"/>
      <c r="H199" s="1"/>
      <c r="I199" s="1"/>
      <c r="J199" s="1"/>
      <c r="L199" s="1"/>
      <c r="M199" s="1"/>
      <c r="N199" s="1"/>
      <c r="O199" s="2"/>
      <c r="S199" s="2"/>
      <c r="T199" s="1"/>
      <c r="Z199" s="1"/>
      <c r="AA199" s="1"/>
      <c r="AB199" s="1"/>
      <c r="AC199" s="1"/>
      <c r="AD199" s="1"/>
    </row>
    <row r="200" spans="7:30">
      <c r="G200" s="1"/>
      <c r="H200" s="1"/>
      <c r="I200" s="1"/>
      <c r="J200" s="1"/>
      <c r="L200" s="1"/>
      <c r="M200" s="1"/>
      <c r="N200" s="1"/>
      <c r="O200" s="2"/>
      <c r="S200" s="2"/>
      <c r="T200" s="1"/>
      <c r="Z200" s="1"/>
      <c r="AA200" s="1"/>
      <c r="AB200" s="1"/>
      <c r="AC200" s="1"/>
      <c r="AD200" s="1"/>
    </row>
    <row r="201" spans="7:30">
      <c r="G201" s="1"/>
      <c r="H201" s="1"/>
      <c r="I201" s="1"/>
      <c r="J201" s="1"/>
      <c r="L201" s="1"/>
      <c r="M201" s="1"/>
      <c r="N201" s="1"/>
      <c r="O201" s="2"/>
      <c r="S201" s="2"/>
      <c r="T201" s="1"/>
      <c r="Z201" s="1"/>
      <c r="AA201" s="1"/>
      <c r="AB201" s="1"/>
      <c r="AC201" s="1"/>
      <c r="AD201" s="1"/>
    </row>
    <row r="202" spans="7:30">
      <c r="G202" s="1"/>
      <c r="H202" s="1"/>
      <c r="I202" s="1"/>
      <c r="J202" s="1"/>
      <c r="L202" s="1"/>
      <c r="M202" s="1"/>
      <c r="N202" s="1"/>
      <c r="O202" s="2"/>
      <c r="S202" s="2"/>
      <c r="T202" s="1"/>
      <c r="Z202" s="1"/>
      <c r="AA202" s="1"/>
      <c r="AB202" s="1"/>
      <c r="AC202" s="1"/>
      <c r="AD202" s="1"/>
    </row>
    <row r="203" spans="7:30">
      <c r="G203" s="1"/>
      <c r="H203" s="1"/>
      <c r="I203" s="1"/>
      <c r="J203" s="1"/>
      <c r="L203" s="1"/>
      <c r="M203" s="1"/>
      <c r="N203" s="1"/>
      <c r="O203" s="2"/>
      <c r="S203" s="2"/>
      <c r="T203" s="1"/>
      <c r="Z203" s="1"/>
      <c r="AA203" s="1"/>
      <c r="AB203" s="1"/>
      <c r="AC203" s="1"/>
      <c r="AD203" s="1"/>
    </row>
    <row r="204" spans="7:30">
      <c r="G204" s="1"/>
      <c r="H204" s="1"/>
      <c r="I204" s="1"/>
      <c r="J204" s="1"/>
      <c r="L204" s="1"/>
      <c r="M204" s="1"/>
      <c r="N204" s="1"/>
      <c r="O204" s="2"/>
      <c r="S204" s="2"/>
      <c r="T204" s="1"/>
      <c r="Z204" s="1"/>
      <c r="AA204" s="1"/>
      <c r="AB204" s="1"/>
      <c r="AC204" s="1"/>
      <c r="AD204" s="1"/>
    </row>
    <row r="205" spans="7:30">
      <c r="G205" s="1"/>
      <c r="H205" s="1"/>
      <c r="I205" s="1"/>
      <c r="J205" s="1"/>
      <c r="L205" s="1"/>
      <c r="M205" s="1"/>
      <c r="N205" s="1"/>
      <c r="O205" s="2"/>
      <c r="S205" s="2"/>
      <c r="T205" s="1"/>
      <c r="Z205" s="1"/>
      <c r="AA205" s="1"/>
      <c r="AB205" s="1"/>
      <c r="AC205" s="1"/>
      <c r="AD205" s="1"/>
    </row>
    <row r="206" spans="7:30">
      <c r="G206" s="1"/>
      <c r="H206" s="1"/>
      <c r="I206" s="1"/>
      <c r="J206" s="1"/>
      <c r="L206" s="1"/>
      <c r="M206" s="1"/>
      <c r="N206" s="1"/>
      <c r="O206" s="2"/>
      <c r="S206" s="2"/>
      <c r="T206" s="1"/>
      <c r="Z206" s="1"/>
      <c r="AA206" s="1"/>
      <c r="AB206" s="1"/>
      <c r="AC206" s="1"/>
      <c r="AD206" s="1"/>
    </row>
    <row r="207" spans="7:30">
      <c r="G207" s="1"/>
      <c r="H207" s="1"/>
      <c r="I207" s="1"/>
      <c r="J207" s="1"/>
      <c r="L207" s="1"/>
      <c r="M207" s="1"/>
      <c r="N207" s="1"/>
      <c r="O207" s="2"/>
      <c r="S207" s="2"/>
      <c r="T207" s="1"/>
      <c r="Z207" s="1"/>
      <c r="AA207" s="1"/>
      <c r="AB207" s="1"/>
      <c r="AC207" s="1"/>
      <c r="AD207" s="1"/>
    </row>
    <row r="208" spans="7:30">
      <c r="G208" s="1"/>
      <c r="H208" s="1"/>
      <c r="I208" s="1"/>
      <c r="J208" s="1"/>
      <c r="L208" s="1"/>
      <c r="M208" s="1"/>
      <c r="N208" s="1"/>
      <c r="O208" s="2"/>
      <c r="S208" s="2"/>
      <c r="T208" s="1"/>
      <c r="Z208" s="1"/>
      <c r="AA208" s="1"/>
      <c r="AB208" s="1"/>
      <c r="AC208" s="1"/>
      <c r="AD208" s="1"/>
    </row>
    <row r="209" spans="7:30">
      <c r="G209" s="1"/>
      <c r="H209" s="1"/>
      <c r="I209" s="1"/>
      <c r="J209" s="1"/>
      <c r="L209" s="1"/>
      <c r="M209" s="1"/>
      <c r="N209" s="1"/>
      <c r="O209" s="2"/>
      <c r="S209" s="2"/>
      <c r="T209" s="1"/>
      <c r="Z209" s="1"/>
      <c r="AA209" s="1"/>
      <c r="AB209" s="1"/>
      <c r="AC209" s="1"/>
      <c r="AD209" s="1"/>
    </row>
    <row r="210" spans="7:30">
      <c r="G210" s="1"/>
      <c r="H210" s="1"/>
      <c r="I210" s="1"/>
      <c r="J210" s="1"/>
      <c r="L210" s="1"/>
      <c r="M210" s="1"/>
      <c r="N210" s="1"/>
      <c r="O210" s="2"/>
      <c r="S210" s="2"/>
      <c r="T210" s="1"/>
      <c r="Z210" s="1"/>
      <c r="AA210" s="1"/>
      <c r="AB210" s="1"/>
      <c r="AC210" s="1"/>
      <c r="AD210" s="1"/>
    </row>
    <row r="211" spans="7:30">
      <c r="G211" s="1"/>
      <c r="H211" s="1"/>
      <c r="I211" s="1"/>
      <c r="J211" s="1"/>
      <c r="L211" s="1"/>
      <c r="M211" s="1"/>
      <c r="N211" s="1"/>
      <c r="O211" s="2"/>
      <c r="S211" s="2"/>
      <c r="T211" s="1"/>
      <c r="Z211" s="1"/>
      <c r="AA211" s="1"/>
      <c r="AB211" s="1"/>
      <c r="AC211" s="1"/>
      <c r="AD211" s="1"/>
    </row>
    <row r="212" spans="7:30">
      <c r="G212" s="1"/>
      <c r="H212" s="1"/>
      <c r="I212" s="1"/>
      <c r="J212" s="1"/>
      <c r="L212" s="1"/>
      <c r="M212" s="1"/>
      <c r="N212" s="1"/>
      <c r="O212" s="2"/>
      <c r="S212" s="2"/>
      <c r="T212" s="1"/>
      <c r="Z212" s="1"/>
      <c r="AA212" s="1"/>
      <c r="AB212" s="1"/>
      <c r="AC212" s="1"/>
      <c r="AD212" s="1"/>
    </row>
    <row r="213" spans="7:30">
      <c r="G213" s="1"/>
      <c r="H213" s="1"/>
      <c r="I213" s="1"/>
      <c r="J213" s="1"/>
      <c r="L213" s="1"/>
      <c r="M213" s="1"/>
      <c r="N213" s="1"/>
      <c r="O213" s="2"/>
      <c r="S213" s="2"/>
      <c r="T213" s="1"/>
      <c r="Z213" s="1"/>
      <c r="AA213" s="1"/>
      <c r="AB213" s="1"/>
      <c r="AC213" s="1"/>
      <c r="AD213" s="1"/>
    </row>
    <row r="214" spans="7:30">
      <c r="G214" s="1"/>
      <c r="H214" s="1"/>
      <c r="I214" s="1"/>
      <c r="J214" s="1"/>
      <c r="L214" s="1"/>
      <c r="M214" s="1"/>
      <c r="N214" s="1"/>
      <c r="O214" s="2"/>
      <c r="S214" s="2"/>
      <c r="T214" s="1"/>
      <c r="Z214" s="1"/>
      <c r="AA214" s="1"/>
      <c r="AB214" s="1"/>
      <c r="AC214" s="1"/>
      <c r="AD214" s="1"/>
    </row>
    <row r="215" spans="7:30">
      <c r="G215" s="1"/>
      <c r="H215" s="1"/>
      <c r="I215" s="1"/>
      <c r="J215" s="1"/>
      <c r="L215" s="1"/>
      <c r="M215" s="1"/>
      <c r="N215" s="1"/>
      <c r="O215" s="2"/>
      <c r="S215" s="2"/>
      <c r="T215" s="1"/>
      <c r="Z215" s="1"/>
      <c r="AA215" s="1"/>
      <c r="AB215" s="1"/>
      <c r="AC215" s="1"/>
      <c r="AD215" s="1"/>
    </row>
    <row r="216" spans="7:30">
      <c r="G216" s="1"/>
      <c r="H216" s="1"/>
      <c r="I216" s="1"/>
      <c r="J216" s="1"/>
      <c r="L216" s="1"/>
      <c r="M216" s="1"/>
      <c r="N216" s="1"/>
      <c r="O216" s="2"/>
      <c r="S216" s="2"/>
      <c r="T216" s="1"/>
      <c r="Z216" s="1"/>
      <c r="AA216" s="1"/>
      <c r="AB216" s="1"/>
      <c r="AC216" s="1"/>
      <c r="AD216" s="1"/>
    </row>
    <row r="217" spans="7:30">
      <c r="G217" s="1"/>
      <c r="H217" s="1"/>
      <c r="I217" s="1"/>
      <c r="J217" s="1"/>
      <c r="L217" s="1"/>
      <c r="M217" s="1"/>
      <c r="N217" s="1"/>
      <c r="O217" s="2"/>
      <c r="S217" s="2"/>
      <c r="T217" s="1"/>
      <c r="Z217" s="1"/>
      <c r="AA217" s="1"/>
      <c r="AB217" s="1"/>
      <c r="AC217" s="1"/>
      <c r="AD217" s="1"/>
    </row>
    <row r="218" spans="7:30">
      <c r="G218" s="1"/>
      <c r="H218" s="1"/>
      <c r="I218" s="1"/>
      <c r="J218" s="1"/>
      <c r="L218" s="1"/>
      <c r="M218" s="1"/>
      <c r="N218" s="1"/>
      <c r="O218" s="2"/>
      <c r="S218" s="2"/>
      <c r="T218" s="1"/>
      <c r="Z218" s="1"/>
      <c r="AA218" s="1"/>
      <c r="AB218" s="1"/>
      <c r="AC218" s="1"/>
      <c r="AD218" s="1"/>
    </row>
    <row r="219" spans="7:30">
      <c r="G219" s="1"/>
      <c r="H219" s="1"/>
      <c r="I219" s="1"/>
      <c r="J219" s="1"/>
      <c r="L219" s="1"/>
      <c r="M219" s="1"/>
      <c r="N219" s="1"/>
      <c r="O219" s="2"/>
      <c r="S219" s="2"/>
      <c r="T219" s="1"/>
      <c r="Z219" s="1"/>
      <c r="AA219" s="1"/>
      <c r="AB219" s="1"/>
      <c r="AC219" s="1"/>
      <c r="AD219" s="1"/>
    </row>
    <row r="220" spans="7:30">
      <c r="G220" s="1"/>
      <c r="H220" s="1"/>
      <c r="I220" s="1"/>
      <c r="J220" s="1"/>
      <c r="L220" s="1"/>
      <c r="M220" s="1"/>
      <c r="N220" s="1"/>
      <c r="O220" s="2"/>
      <c r="S220" s="2"/>
      <c r="T220" s="1"/>
      <c r="Z220" s="1"/>
      <c r="AA220" s="1"/>
      <c r="AB220" s="1"/>
      <c r="AC220" s="1"/>
      <c r="AD220" s="1"/>
    </row>
    <row r="221" spans="7:30">
      <c r="G221" s="1"/>
      <c r="H221" s="1"/>
      <c r="I221" s="1"/>
      <c r="J221" s="1"/>
      <c r="L221" s="1"/>
      <c r="M221" s="1"/>
      <c r="N221" s="1"/>
      <c r="O221" s="2"/>
      <c r="S221" s="2"/>
      <c r="T221" s="1"/>
      <c r="Z221" s="1"/>
      <c r="AA221" s="1"/>
      <c r="AB221" s="1"/>
      <c r="AC221" s="1"/>
      <c r="AD221" s="1"/>
    </row>
    <row r="222" spans="7:30">
      <c r="G222" s="1"/>
      <c r="H222" s="1"/>
      <c r="I222" s="1"/>
      <c r="J222" s="1"/>
      <c r="L222" s="1"/>
      <c r="M222" s="1"/>
      <c r="N222" s="1"/>
      <c r="O222" s="2"/>
      <c r="S222" s="2"/>
      <c r="T222" s="1"/>
      <c r="Z222" s="1"/>
      <c r="AA222" s="1"/>
      <c r="AB222" s="1"/>
      <c r="AC222" s="1"/>
      <c r="AD222" s="1"/>
    </row>
    <row r="223" spans="7:30">
      <c r="G223" s="1"/>
      <c r="H223" s="1"/>
      <c r="I223" s="1"/>
      <c r="J223" s="1"/>
      <c r="L223" s="1"/>
      <c r="M223" s="1"/>
      <c r="N223" s="1"/>
      <c r="O223" s="2"/>
      <c r="S223" s="2"/>
      <c r="T223" s="1"/>
      <c r="Z223" s="1"/>
      <c r="AA223" s="1"/>
      <c r="AB223" s="1"/>
      <c r="AC223" s="1"/>
      <c r="AD223" s="1"/>
    </row>
    <row r="224" spans="7:30">
      <c r="G224" s="1"/>
      <c r="H224" s="1"/>
      <c r="I224" s="1"/>
      <c r="J224" s="1"/>
      <c r="L224" s="1"/>
      <c r="M224" s="1"/>
      <c r="N224" s="1"/>
      <c r="O224" s="2"/>
      <c r="S224" s="2"/>
      <c r="T224" s="1"/>
      <c r="Z224" s="1"/>
      <c r="AA224" s="1"/>
      <c r="AB224" s="1"/>
      <c r="AC224" s="1"/>
      <c r="AD224" s="1"/>
    </row>
    <row r="225" spans="7:30">
      <c r="G225" s="1"/>
      <c r="H225" s="1"/>
      <c r="I225" s="1"/>
      <c r="J225" s="1"/>
      <c r="L225" s="1"/>
      <c r="M225" s="1"/>
      <c r="N225" s="1"/>
      <c r="O225" s="2"/>
      <c r="S225" s="2"/>
      <c r="T225" s="1"/>
      <c r="Z225" s="1"/>
      <c r="AA225" s="1"/>
      <c r="AB225" s="1"/>
      <c r="AC225" s="1"/>
      <c r="AD225" s="1"/>
    </row>
    <row r="226" spans="7:30">
      <c r="G226" s="1"/>
      <c r="H226" s="1"/>
      <c r="I226" s="1"/>
      <c r="J226" s="1"/>
      <c r="L226" s="1"/>
      <c r="M226" s="1"/>
      <c r="N226" s="1"/>
      <c r="O226" s="2"/>
      <c r="S226" s="2"/>
      <c r="T226" s="1"/>
      <c r="Z226" s="1"/>
      <c r="AA226" s="1"/>
      <c r="AB226" s="1"/>
      <c r="AC226" s="1"/>
      <c r="AD226" s="1"/>
    </row>
    <row r="227" spans="7:30">
      <c r="G227" s="1"/>
      <c r="H227" s="1"/>
      <c r="I227" s="1"/>
      <c r="J227" s="1"/>
      <c r="L227" s="1"/>
      <c r="M227" s="1"/>
      <c r="N227" s="1"/>
      <c r="O227" s="2"/>
      <c r="S227" s="2"/>
      <c r="T227" s="1"/>
      <c r="Z227" s="1"/>
      <c r="AA227" s="1"/>
      <c r="AB227" s="1"/>
      <c r="AC227" s="1"/>
      <c r="AD227" s="1"/>
    </row>
    <row r="228" spans="7:30">
      <c r="G228" s="1"/>
      <c r="H228" s="1"/>
      <c r="I228" s="1"/>
      <c r="J228" s="1"/>
      <c r="L228" s="1"/>
      <c r="M228" s="1"/>
      <c r="N228" s="1"/>
      <c r="O228" s="2"/>
      <c r="S228" s="2"/>
      <c r="T228" s="1"/>
      <c r="Z228" s="1"/>
      <c r="AA228" s="1"/>
      <c r="AB228" s="1"/>
      <c r="AC228" s="1"/>
      <c r="AD228" s="1"/>
    </row>
    <row r="229" spans="7:30">
      <c r="G229" s="1"/>
      <c r="H229" s="1"/>
      <c r="I229" s="1"/>
      <c r="J229" s="1"/>
      <c r="L229" s="1"/>
      <c r="M229" s="1"/>
      <c r="N229" s="1"/>
      <c r="O229" s="2"/>
      <c r="S229" s="2"/>
      <c r="T229" s="1"/>
      <c r="Z229" s="1"/>
      <c r="AA229" s="1"/>
      <c r="AB229" s="1"/>
      <c r="AC229" s="1"/>
      <c r="AD229" s="1"/>
    </row>
    <row r="230" spans="7:30">
      <c r="G230" s="1"/>
      <c r="H230" s="1"/>
      <c r="I230" s="1"/>
      <c r="J230" s="1"/>
      <c r="L230" s="1"/>
      <c r="M230" s="1"/>
      <c r="N230" s="1"/>
      <c r="O230" s="2"/>
      <c r="S230" s="2"/>
      <c r="T230" s="1"/>
      <c r="Z230" s="1"/>
      <c r="AA230" s="1"/>
      <c r="AB230" s="1"/>
      <c r="AC230" s="1"/>
      <c r="AD230" s="1"/>
    </row>
    <row r="231" spans="7:30">
      <c r="G231" s="1"/>
      <c r="H231" s="1"/>
      <c r="I231" s="1"/>
      <c r="J231" s="1"/>
      <c r="L231" s="1"/>
      <c r="M231" s="1"/>
      <c r="N231" s="1"/>
      <c r="O231" s="2"/>
      <c r="S231" s="2"/>
      <c r="T231" s="1"/>
      <c r="Z231" s="1"/>
      <c r="AA231" s="1"/>
      <c r="AB231" s="1"/>
      <c r="AC231" s="1"/>
      <c r="AD231" s="1"/>
    </row>
    <row r="232" spans="7:30">
      <c r="G232" s="1"/>
      <c r="H232" s="1"/>
      <c r="I232" s="1"/>
      <c r="J232" s="1"/>
      <c r="L232" s="1"/>
      <c r="M232" s="1"/>
      <c r="N232" s="1"/>
      <c r="O232" s="2"/>
      <c r="S232" s="2"/>
      <c r="T232" s="1"/>
      <c r="Z232" s="1"/>
      <c r="AA232" s="1"/>
      <c r="AB232" s="1"/>
      <c r="AC232" s="1"/>
      <c r="AD232" s="1"/>
    </row>
    <row r="233" spans="7:30">
      <c r="G233" s="1"/>
      <c r="H233" s="1"/>
      <c r="I233" s="1"/>
      <c r="J233" s="1"/>
      <c r="L233" s="1"/>
      <c r="M233" s="1"/>
      <c r="N233" s="1"/>
      <c r="O233" s="2"/>
      <c r="S233" s="2"/>
      <c r="T233" s="1"/>
      <c r="Z233" s="1"/>
      <c r="AA233" s="1"/>
      <c r="AB233" s="1"/>
      <c r="AC233" s="1"/>
      <c r="AD233" s="1"/>
    </row>
    <row r="234" spans="7:30">
      <c r="G234" s="1"/>
      <c r="H234" s="1"/>
      <c r="I234" s="1"/>
      <c r="J234" s="1"/>
      <c r="L234" s="1"/>
      <c r="M234" s="1"/>
      <c r="N234" s="1"/>
      <c r="O234" s="2"/>
      <c r="S234" s="2"/>
      <c r="T234" s="1"/>
      <c r="Z234" s="1"/>
      <c r="AA234" s="1"/>
      <c r="AB234" s="1"/>
      <c r="AC234" s="1"/>
      <c r="AD234" s="1"/>
    </row>
    <row r="235" spans="7:30">
      <c r="G235" s="1"/>
      <c r="H235" s="1"/>
      <c r="I235" s="1"/>
      <c r="J235" s="1"/>
      <c r="L235" s="1"/>
      <c r="M235" s="1"/>
      <c r="N235" s="1"/>
      <c r="O235" s="2"/>
      <c r="S235" s="2"/>
      <c r="T235" s="1"/>
      <c r="Z235" s="1"/>
      <c r="AA235" s="1"/>
      <c r="AB235" s="1"/>
      <c r="AC235" s="1"/>
      <c r="AD235" s="1"/>
    </row>
    <row r="236" spans="7:30">
      <c r="G236" s="1"/>
      <c r="H236" s="1"/>
      <c r="I236" s="1"/>
      <c r="J236" s="1"/>
      <c r="L236" s="1"/>
      <c r="M236" s="1"/>
      <c r="N236" s="1"/>
      <c r="O236" s="2"/>
      <c r="S236" s="2"/>
      <c r="T236" s="1"/>
      <c r="Z236" s="1"/>
      <c r="AA236" s="1"/>
      <c r="AB236" s="1"/>
      <c r="AC236" s="1"/>
      <c r="AD236" s="1"/>
    </row>
    <row r="237" spans="7:30">
      <c r="G237" s="1"/>
      <c r="H237" s="1"/>
      <c r="I237" s="1"/>
      <c r="J237" s="1"/>
      <c r="L237" s="1"/>
      <c r="M237" s="1"/>
      <c r="N237" s="1"/>
      <c r="O237" s="2"/>
      <c r="S237" s="2"/>
      <c r="T237" s="1"/>
      <c r="Z237" s="1"/>
      <c r="AA237" s="1"/>
      <c r="AB237" s="1"/>
      <c r="AC237" s="1"/>
      <c r="AD237" s="1"/>
    </row>
    <row r="238" spans="7:30">
      <c r="G238" s="1"/>
      <c r="H238" s="1"/>
      <c r="I238" s="1"/>
      <c r="J238" s="1"/>
      <c r="L238" s="1"/>
      <c r="M238" s="1"/>
      <c r="N238" s="1"/>
      <c r="O238" s="2"/>
      <c r="S238" s="2"/>
      <c r="T238" s="1"/>
      <c r="Z238" s="1"/>
      <c r="AA238" s="1"/>
      <c r="AB238" s="1"/>
      <c r="AC238" s="1"/>
      <c r="AD238" s="1"/>
    </row>
    <row r="239" spans="7:30">
      <c r="G239" s="1"/>
      <c r="H239" s="1"/>
      <c r="I239" s="1"/>
      <c r="J239" s="1"/>
      <c r="L239" s="1"/>
      <c r="M239" s="1"/>
      <c r="N239" s="1"/>
      <c r="O239" s="2"/>
      <c r="S239" s="2"/>
      <c r="T239" s="1"/>
      <c r="Z239" s="1"/>
      <c r="AA239" s="1"/>
      <c r="AB239" s="1"/>
      <c r="AC239" s="1"/>
      <c r="AD239" s="1"/>
    </row>
    <row r="240" spans="7:30">
      <c r="G240" s="1"/>
      <c r="H240" s="1"/>
      <c r="I240" s="1"/>
      <c r="J240" s="1"/>
      <c r="L240" s="1"/>
      <c r="M240" s="1"/>
      <c r="N240" s="1"/>
      <c r="O240" s="2"/>
      <c r="S240" s="2"/>
      <c r="T240" s="1"/>
      <c r="Z240" s="1"/>
      <c r="AA240" s="1"/>
      <c r="AB240" s="1"/>
      <c r="AC240" s="1"/>
      <c r="AD240" s="1"/>
    </row>
    <row r="241" spans="7:30">
      <c r="G241" s="1"/>
      <c r="H241" s="1"/>
      <c r="I241" s="1"/>
      <c r="J241" s="1"/>
      <c r="L241" s="1"/>
      <c r="M241" s="1"/>
      <c r="N241" s="1"/>
      <c r="O241" s="2"/>
      <c r="S241" s="2"/>
      <c r="T241" s="1"/>
      <c r="Z241" s="1"/>
      <c r="AA241" s="1"/>
      <c r="AB241" s="1"/>
      <c r="AC241" s="1"/>
      <c r="AD241" s="1"/>
    </row>
    <row r="242" spans="7:30">
      <c r="G242" s="1"/>
      <c r="H242" s="1"/>
      <c r="I242" s="1"/>
      <c r="J242" s="1"/>
      <c r="L242" s="1"/>
      <c r="M242" s="1"/>
      <c r="N242" s="1"/>
      <c r="O242" s="2"/>
      <c r="S242" s="2"/>
      <c r="T242" s="1"/>
      <c r="Z242" s="1"/>
      <c r="AA242" s="1"/>
      <c r="AB242" s="1"/>
      <c r="AC242" s="1"/>
      <c r="AD242" s="1"/>
    </row>
    <row r="243" spans="7:30">
      <c r="G243" s="1"/>
      <c r="H243" s="1"/>
      <c r="I243" s="1"/>
      <c r="J243" s="1"/>
      <c r="L243" s="1"/>
      <c r="M243" s="1"/>
      <c r="N243" s="1"/>
      <c r="O243" s="2"/>
      <c r="S243" s="2"/>
      <c r="T243" s="1"/>
      <c r="Z243" s="1"/>
      <c r="AA243" s="1"/>
      <c r="AB243" s="1"/>
      <c r="AC243" s="1"/>
      <c r="AD243" s="1"/>
    </row>
    <row r="244" spans="7:30">
      <c r="G244" s="1"/>
      <c r="H244" s="1"/>
      <c r="I244" s="1"/>
      <c r="J244" s="1"/>
      <c r="L244" s="1"/>
      <c r="M244" s="1"/>
      <c r="N244" s="1"/>
      <c r="O244" s="2"/>
      <c r="S244" s="2"/>
      <c r="T244" s="1"/>
      <c r="Z244" s="1"/>
      <c r="AA244" s="1"/>
      <c r="AB244" s="1"/>
      <c r="AC244" s="1"/>
      <c r="AD244" s="1"/>
    </row>
    <row r="245" spans="7:30">
      <c r="G245" s="1"/>
      <c r="H245" s="1"/>
      <c r="I245" s="1"/>
      <c r="J245" s="1"/>
      <c r="L245" s="1"/>
      <c r="M245" s="1"/>
      <c r="N245" s="1"/>
      <c r="O245" s="2"/>
      <c r="S245" s="2"/>
      <c r="T245" s="1"/>
      <c r="Z245" s="1"/>
      <c r="AA245" s="1"/>
      <c r="AB245" s="1"/>
      <c r="AC245" s="1"/>
      <c r="AD245" s="1"/>
    </row>
    <row r="246" spans="7:30">
      <c r="G246" s="1"/>
      <c r="H246" s="1"/>
      <c r="I246" s="1"/>
      <c r="J246" s="1"/>
      <c r="L246" s="1"/>
      <c r="M246" s="1"/>
      <c r="N246" s="1"/>
      <c r="O246" s="2"/>
      <c r="S246" s="2"/>
      <c r="T246" s="1"/>
      <c r="Z246" s="1"/>
      <c r="AA246" s="1"/>
      <c r="AB246" s="1"/>
      <c r="AC246" s="1"/>
      <c r="AD246" s="1"/>
    </row>
    <row r="247" spans="7:30">
      <c r="G247" s="1"/>
      <c r="H247" s="1"/>
      <c r="I247" s="1"/>
      <c r="J247" s="1"/>
      <c r="L247" s="1"/>
      <c r="M247" s="1"/>
      <c r="N247" s="1"/>
      <c r="O247" s="2"/>
      <c r="S247" s="2"/>
      <c r="T247" s="1"/>
      <c r="Z247" s="1"/>
      <c r="AA247" s="1"/>
      <c r="AB247" s="1"/>
      <c r="AC247" s="1"/>
      <c r="AD247" s="1"/>
    </row>
    <row r="248" spans="7:30">
      <c r="G248" s="1"/>
      <c r="H248" s="1"/>
      <c r="I248" s="1"/>
      <c r="J248" s="1"/>
      <c r="L248" s="1"/>
      <c r="M248" s="1"/>
      <c r="N248" s="1"/>
      <c r="O248" s="2"/>
      <c r="S248" s="2"/>
      <c r="T248" s="1"/>
      <c r="Z248" s="1"/>
      <c r="AA248" s="1"/>
      <c r="AB248" s="1"/>
      <c r="AC248" s="1"/>
      <c r="AD248" s="1"/>
    </row>
    <row r="249" spans="7:30">
      <c r="G249" s="1"/>
      <c r="H249" s="1"/>
      <c r="I249" s="1"/>
      <c r="J249" s="1"/>
      <c r="L249" s="1"/>
      <c r="M249" s="1"/>
      <c r="N249" s="1"/>
      <c r="O249" s="2"/>
      <c r="S249" s="2"/>
      <c r="T249" s="1"/>
      <c r="Z249" s="1"/>
      <c r="AA249" s="1"/>
      <c r="AB249" s="1"/>
      <c r="AC249" s="1"/>
      <c r="AD249" s="1"/>
    </row>
    <row r="250" spans="7:30">
      <c r="G250" s="1"/>
      <c r="H250" s="1"/>
      <c r="I250" s="1"/>
      <c r="J250" s="1"/>
      <c r="L250" s="1"/>
      <c r="M250" s="1"/>
      <c r="N250" s="1"/>
      <c r="O250" s="2"/>
      <c r="S250" s="2"/>
      <c r="T250" s="1"/>
      <c r="Z250" s="1"/>
      <c r="AA250" s="1"/>
      <c r="AB250" s="1"/>
      <c r="AC250" s="1"/>
      <c r="AD250" s="1"/>
    </row>
    <row r="251" spans="7:30">
      <c r="G251" s="1"/>
      <c r="H251" s="1"/>
      <c r="I251" s="1"/>
      <c r="J251" s="1"/>
      <c r="L251" s="1"/>
      <c r="M251" s="1"/>
      <c r="N251" s="1"/>
      <c r="O251" s="2"/>
      <c r="S251" s="2"/>
      <c r="T251" s="1"/>
      <c r="Z251" s="1"/>
      <c r="AA251" s="1"/>
      <c r="AB251" s="1"/>
      <c r="AC251" s="1"/>
      <c r="AD251" s="1"/>
    </row>
    <row r="252" spans="7:30">
      <c r="G252" s="1"/>
      <c r="H252" s="1"/>
      <c r="I252" s="1"/>
      <c r="J252" s="1"/>
      <c r="L252" s="1"/>
      <c r="M252" s="1"/>
      <c r="N252" s="1"/>
      <c r="O252" s="2"/>
      <c r="S252" s="2"/>
      <c r="T252" s="1"/>
      <c r="Z252" s="1"/>
      <c r="AA252" s="1"/>
      <c r="AB252" s="1"/>
      <c r="AC252" s="1"/>
      <c r="AD252" s="1"/>
    </row>
    <row r="253" spans="7:30">
      <c r="G253" s="1"/>
      <c r="H253" s="1"/>
      <c r="I253" s="1"/>
      <c r="J253" s="1"/>
      <c r="L253" s="1"/>
      <c r="M253" s="1"/>
      <c r="N253" s="1"/>
      <c r="O253" s="2"/>
      <c r="S253" s="2"/>
      <c r="T253" s="1"/>
      <c r="Z253" s="1"/>
      <c r="AA253" s="1"/>
      <c r="AB253" s="1"/>
      <c r="AC253" s="1"/>
      <c r="AD253" s="1"/>
    </row>
    <row r="254" spans="7:30">
      <c r="G254" s="1"/>
      <c r="H254" s="1"/>
      <c r="I254" s="1"/>
      <c r="J254" s="1"/>
      <c r="L254" s="1"/>
      <c r="M254" s="1"/>
      <c r="N254" s="1"/>
      <c r="O254" s="2"/>
      <c r="S254" s="2"/>
      <c r="T254" s="1"/>
      <c r="Z254" s="1"/>
      <c r="AA254" s="1"/>
      <c r="AB254" s="1"/>
      <c r="AC254" s="1"/>
      <c r="AD254" s="1"/>
    </row>
    <row r="255" spans="7:30">
      <c r="G255" s="1"/>
      <c r="H255" s="1"/>
      <c r="I255" s="1"/>
      <c r="J255" s="1"/>
      <c r="L255" s="1"/>
      <c r="M255" s="1"/>
      <c r="N255" s="1"/>
      <c r="O255" s="2"/>
      <c r="S255" s="2"/>
      <c r="T255" s="1"/>
      <c r="Z255" s="1"/>
      <c r="AA255" s="1"/>
      <c r="AB255" s="1"/>
      <c r="AC255" s="1"/>
      <c r="AD255" s="1"/>
    </row>
    <row r="256" spans="7:30">
      <c r="G256" s="1"/>
      <c r="H256" s="1"/>
      <c r="I256" s="1"/>
      <c r="J256" s="1"/>
      <c r="L256" s="1"/>
      <c r="M256" s="1"/>
      <c r="N256" s="1"/>
      <c r="O256" s="2"/>
      <c r="S256" s="2"/>
      <c r="T256" s="1"/>
      <c r="Z256" s="1"/>
      <c r="AA256" s="1"/>
      <c r="AB256" s="1"/>
      <c r="AC256" s="1"/>
      <c r="AD256" s="1"/>
    </row>
    <row r="257" spans="7:30">
      <c r="G257" s="1"/>
      <c r="H257" s="1"/>
      <c r="I257" s="1"/>
      <c r="J257" s="1"/>
      <c r="L257" s="1"/>
      <c r="M257" s="1"/>
      <c r="N257" s="1"/>
      <c r="O257" s="2"/>
      <c r="S257" s="2"/>
      <c r="T257" s="1"/>
      <c r="Z257" s="1"/>
      <c r="AA257" s="1"/>
      <c r="AB257" s="1"/>
      <c r="AC257" s="1"/>
      <c r="AD257" s="1"/>
    </row>
    <row r="258" spans="7:30">
      <c r="G258" s="1"/>
      <c r="H258" s="1"/>
      <c r="I258" s="1"/>
      <c r="J258" s="1"/>
      <c r="L258" s="1"/>
      <c r="M258" s="1"/>
      <c r="N258" s="1"/>
      <c r="O258" s="2"/>
      <c r="S258" s="2"/>
      <c r="T258" s="1"/>
      <c r="Z258" s="1"/>
      <c r="AA258" s="1"/>
      <c r="AB258" s="1"/>
      <c r="AC258" s="1"/>
      <c r="AD258" s="1"/>
    </row>
    <row r="259" spans="7:30">
      <c r="G259" s="1"/>
      <c r="H259" s="1"/>
      <c r="I259" s="1"/>
      <c r="J259" s="1"/>
      <c r="L259" s="1"/>
      <c r="M259" s="1"/>
      <c r="N259" s="1"/>
      <c r="O259" s="2"/>
      <c r="S259" s="2"/>
      <c r="T259" s="1"/>
      <c r="Z259" s="1"/>
      <c r="AA259" s="1"/>
      <c r="AB259" s="1"/>
      <c r="AC259" s="1"/>
      <c r="AD259" s="1"/>
    </row>
    <row r="260" spans="7:30">
      <c r="G260" s="1"/>
      <c r="H260" s="1"/>
      <c r="I260" s="1"/>
      <c r="J260" s="1"/>
      <c r="L260" s="1"/>
      <c r="M260" s="1"/>
      <c r="N260" s="1"/>
      <c r="O260" s="2"/>
      <c r="S260" s="2"/>
      <c r="T260" s="1"/>
      <c r="Z260" s="1"/>
      <c r="AA260" s="1"/>
      <c r="AB260" s="1"/>
      <c r="AC260" s="1"/>
      <c r="AD260" s="1"/>
    </row>
    <row r="261" spans="7:30">
      <c r="G261" s="1"/>
      <c r="H261" s="1"/>
      <c r="I261" s="1"/>
      <c r="J261" s="1"/>
      <c r="L261" s="1"/>
      <c r="M261" s="1"/>
      <c r="N261" s="1"/>
      <c r="O261" s="2"/>
      <c r="S261" s="2"/>
      <c r="T261" s="1"/>
      <c r="Z261" s="1"/>
      <c r="AA261" s="1"/>
      <c r="AB261" s="1"/>
      <c r="AC261" s="1"/>
      <c r="AD261" s="1"/>
    </row>
    <row r="262" spans="7:30">
      <c r="G262" s="1"/>
      <c r="H262" s="1"/>
      <c r="I262" s="1"/>
      <c r="J262" s="1"/>
      <c r="L262" s="1"/>
      <c r="M262" s="1"/>
      <c r="N262" s="1"/>
      <c r="O262" s="2"/>
      <c r="S262" s="2"/>
      <c r="T262" s="1"/>
      <c r="Z262" s="1"/>
      <c r="AA262" s="1"/>
      <c r="AB262" s="1"/>
      <c r="AC262" s="1"/>
      <c r="AD262" s="1"/>
    </row>
    <row r="263" spans="7:30">
      <c r="G263" s="1"/>
      <c r="H263" s="1"/>
      <c r="I263" s="1"/>
      <c r="J263" s="1"/>
      <c r="L263" s="1"/>
      <c r="M263" s="1"/>
      <c r="N263" s="1"/>
      <c r="O263" s="2"/>
      <c r="S263" s="2"/>
      <c r="T263" s="1"/>
      <c r="Z263" s="1"/>
      <c r="AA263" s="1"/>
      <c r="AB263" s="1"/>
      <c r="AC263" s="1"/>
      <c r="AD263" s="1"/>
    </row>
    <row r="264" spans="7:30">
      <c r="G264" s="1"/>
      <c r="H264" s="1"/>
      <c r="I264" s="1"/>
      <c r="J264" s="1"/>
      <c r="L264" s="1"/>
      <c r="M264" s="1"/>
      <c r="N264" s="1"/>
      <c r="O264" s="2"/>
      <c r="S264" s="2"/>
      <c r="T264" s="1"/>
      <c r="Z264" s="1"/>
      <c r="AA264" s="1"/>
      <c r="AB264" s="1"/>
      <c r="AC264" s="1"/>
      <c r="AD264" s="1"/>
    </row>
    <row r="265" spans="7:30">
      <c r="G265" s="1"/>
      <c r="H265" s="1"/>
      <c r="I265" s="1"/>
      <c r="J265" s="1"/>
      <c r="L265" s="1"/>
      <c r="M265" s="1"/>
      <c r="N265" s="1"/>
      <c r="O265" s="2"/>
      <c r="S265" s="2"/>
      <c r="T265" s="1"/>
      <c r="Z265" s="1"/>
      <c r="AA265" s="1"/>
      <c r="AB265" s="1"/>
      <c r="AC265" s="1"/>
      <c r="AD265" s="1"/>
    </row>
    <row r="266" spans="7:30">
      <c r="G266" s="1"/>
      <c r="H266" s="1"/>
      <c r="I266" s="1"/>
      <c r="J266" s="1"/>
      <c r="L266" s="1"/>
      <c r="M266" s="1"/>
      <c r="N266" s="1"/>
      <c r="O266" s="2"/>
      <c r="S266" s="2"/>
      <c r="T266" s="1"/>
      <c r="Z266" s="1"/>
      <c r="AA266" s="1"/>
      <c r="AB266" s="1"/>
      <c r="AC266" s="1"/>
      <c r="AD266" s="1"/>
    </row>
    <row r="267" spans="7:30">
      <c r="G267" s="1"/>
      <c r="H267" s="1"/>
      <c r="I267" s="1"/>
      <c r="J267" s="1"/>
      <c r="L267" s="1"/>
      <c r="M267" s="1"/>
      <c r="N267" s="1"/>
      <c r="O267" s="2"/>
      <c r="S267" s="2"/>
      <c r="T267" s="1"/>
      <c r="Z267" s="1"/>
      <c r="AA267" s="1"/>
      <c r="AB267" s="1"/>
      <c r="AC267" s="1"/>
      <c r="AD267" s="1"/>
    </row>
    <row r="268" spans="7:30">
      <c r="G268" s="1"/>
      <c r="H268" s="1"/>
      <c r="I268" s="1"/>
      <c r="J268" s="1"/>
      <c r="L268" s="1"/>
      <c r="M268" s="1"/>
      <c r="N268" s="1"/>
      <c r="O268" s="2"/>
      <c r="S268" s="2"/>
      <c r="T268" s="1"/>
      <c r="Z268" s="1"/>
      <c r="AA268" s="1"/>
      <c r="AB268" s="1"/>
      <c r="AC268" s="1"/>
      <c r="AD268" s="1"/>
    </row>
    <row r="269" spans="7:30">
      <c r="G269" s="1"/>
      <c r="H269" s="1"/>
      <c r="I269" s="1"/>
      <c r="J269" s="1"/>
      <c r="L269" s="1"/>
      <c r="M269" s="1"/>
      <c r="N269" s="1"/>
      <c r="O269" s="2"/>
      <c r="S269" s="2"/>
      <c r="T269" s="1"/>
      <c r="Z269" s="1"/>
      <c r="AA269" s="1"/>
      <c r="AB269" s="1"/>
      <c r="AC269" s="1"/>
      <c r="AD269" s="1"/>
    </row>
    <row r="270" spans="7:30">
      <c r="G270" s="1"/>
      <c r="H270" s="1"/>
      <c r="I270" s="1"/>
      <c r="J270" s="1"/>
      <c r="L270" s="1"/>
      <c r="M270" s="1"/>
      <c r="N270" s="1"/>
      <c r="O270" s="2"/>
      <c r="S270" s="2"/>
      <c r="T270" s="1"/>
      <c r="Z270" s="1"/>
      <c r="AA270" s="1"/>
      <c r="AB270" s="1"/>
      <c r="AC270" s="1"/>
      <c r="AD270" s="1"/>
    </row>
    <row r="271" spans="7:30">
      <c r="G271" s="1"/>
      <c r="H271" s="1"/>
      <c r="I271" s="1"/>
      <c r="J271" s="1"/>
      <c r="L271" s="1"/>
      <c r="M271" s="1"/>
      <c r="N271" s="1"/>
      <c r="O271" s="2"/>
      <c r="S271" s="2"/>
      <c r="T271" s="1"/>
      <c r="Z271" s="1"/>
      <c r="AA271" s="1"/>
      <c r="AB271" s="1"/>
      <c r="AC271" s="1"/>
      <c r="AD271" s="1"/>
    </row>
    <row r="272" spans="7:30">
      <c r="G272" s="1"/>
      <c r="H272" s="1"/>
      <c r="I272" s="1"/>
      <c r="J272" s="1"/>
      <c r="L272" s="1"/>
      <c r="M272" s="1"/>
      <c r="N272" s="1"/>
      <c r="O272" s="2"/>
      <c r="S272" s="2"/>
      <c r="T272" s="1"/>
      <c r="Z272" s="1"/>
      <c r="AA272" s="1"/>
      <c r="AB272" s="1"/>
      <c r="AC272" s="1"/>
      <c r="AD272" s="1"/>
    </row>
    <row r="273" spans="7:30">
      <c r="G273" s="1"/>
      <c r="H273" s="1"/>
      <c r="I273" s="1"/>
      <c r="J273" s="1"/>
      <c r="L273" s="1"/>
      <c r="M273" s="1"/>
      <c r="N273" s="1"/>
      <c r="O273" s="2"/>
      <c r="S273" s="2"/>
      <c r="T273" s="1"/>
      <c r="Z273" s="1"/>
      <c r="AA273" s="1"/>
      <c r="AB273" s="1"/>
      <c r="AC273" s="1"/>
      <c r="AD273" s="1"/>
    </row>
    <row r="274" spans="7:30">
      <c r="G274" s="1"/>
      <c r="H274" s="1"/>
      <c r="I274" s="1"/>
      <c r="J274" s="1"/>
      <c r="L274" s="1"/>
      <c r="M274" s="1"/>
      <c r="N274" s="1"/>
      <c r="O274" s="2"/>
      <c r="S274" s="2"/>
      <c r="T274" s="1"/>
      <c r="Z274" s="1"/>
      <c r="AA274" s="1"/>
      <c r="AB274" s="1"/>
      <c r="AC274" s="1"/>
      <c r="AD274" s="1"/>
    </row>
    <row r="275" spans="7:30">
      <c r="G275" s="1"/>
      <c r="H275" s="1"/>
      <c r="I275" s="1"/>
      <c r="J275" s="1"/>
      <c r="L275" s="1"/>
      <c r="M275" s="1"/>
      <c r="N275" s="1"/>
      <c r="O275" s="2"/>
      <c r="S275" s="2"/>
      <c r="T275" s="1"/>
      <c r="Z275" s="1"/>
      <c r="AA275" s="1"/>
      <c r="AB275" s="1"/>
      <c r="AC275" s="1"/>
      <c r="AD275" s="1"/>
    </row>
    <row r="276" spans="7:30">
      <c r="G276" s="1"/>
      <c r="H276" s="1"/>
      <c r="I276" s="1"/>
      <c r="J276" s="1"/>
      <c r="L276" s="1"/>
      <c r="M276" s="1"/>
      <c r="N276" s="1"/>
      <c r="O276" s="2"/>
      <c r="S276" s="2"/>
      <c r="T276" s="1"/>
      <c r="Z276" s="1"/>
      <c r="AA276" s="1"/>
      <c r="AB276" s="1"/>
      <c r="AC276" s="1"/>
      <c r="AD276" s="1"/>
    </row>
    <row r="277" spans="7:30">
      <c r="G277" s="1"/>
      <c r="H277" s="1"/>
      <c r="I277" s="1"/>
      <c r="J277" s="1"/>
      <c r="L277" s="1"/>
      <c r="M277" s="1"/>
      <c r="N277" s="1"/>
      <c r="O277" s="2"/>
      <c r="S277" s="2"/>
      <c r="T277" s="1"/>
      <c r="Z277" s="1"/>
      <c r="AA277" s="1"/>
      <c r="AB277" s="1"/>
      <c r="AC277" s="1"/>
      <c r="AD277" s="1"/>
    </row>
    <row r="278" spans="7:30">
      <c r="G278" s="1"/>
      <c r="H278" s="1"/>
      <c r="I278" s="1"/>
      <c r="J278" s="1"/>
      <c r="L278" s="1"/>
      <c r="M278" s="1"/>
      <c r="N278" s="1"/>
      <c r="O278" s="2"/>
      <c r="S278" s="2"/>
      <c r="T278" s="1"/>
      <c r="Z278" s="1"/>
      <c r="AA278" s="1"/>
      <c r="AB278" s="1"/>
      <c r="AC278" s="1"/>
      <c r="AD278" s="1"/>
    </row>
    <row r="279" spans="7:30">
      <c r="G279" s="1"/>
      <c r="H279" s="1"/>
      <c r="I279" s="1"/>
      <c r="J279" s="1"/>
      <c r="L279" s="1"/>
      <c r="M279" s="1"/>
      <c r="N279" s="1"/>
      <c r="O279" s="2"/>
      <c r="S279" s="2"/>
      <c r="T279" s="1"/>
      <c r="Z279" s="1"/>
      <c r="AA279" s="1"/>
      <c r="AB279" s="1"/>
      <c r="AC279" s="1"/>
      <c r="AD279" s="1"/>
    </row>
    <row r="280" spans="7:30">
      <c r="G280" s="1"/>
      <c r="H280" s="1"/>
      <c r="I280" s="1"/>
      <c r="J280" s="1"/>
      <c r="L280" s="1"/>
      <c r="M280" s="1"/>
      <c r="N280" s="1"/>
      <c r="O280" s="2"/>
      <c r="S280" s="2"/>
      <c r="T280" s="1"/>
      <c r="Z280" s="1"/>
      <c r="AA280" s="1"/>
      <c r="AB280" s="1"/>
      <c r="AC280" s="1"/>
      <c r="AD280" s="1"/>
    </row>
    <row r="281" spans="7:30">
      <c r="G281" s="1"/>
      <c r="H281" s="1"/>
      <c r="I281" s="1"/>
      <c r="J281" s="1"/>
      <c r="L281" s="1"/>
      <c r="M281" s="1"/>
      <c r="N281" s="1"/>
      <c r="O281" s="2"/>
      <c r="S281" s="2"/>
      <c r="T281" s="1"/>
      <c r="Z281" s="1"/>
      <c r="AA281" s="1"/>
      <c r="AB281" s="1"/>
      <c r="AC281" s="1"/>
      <c r="AD281" s="1"/>
    </row>
    <row r="282" spans="7:30">
      <c r="G282" s="1"/>
      <c r="H282" s="1"/>
      <c r="I282" s="1"/>
      <c r="J282" s="1"/>
      <c r="L282" s="1"/>
      <c r="M282" s="1"/>
      <c r="N282" s="1"/>
      <c r="O282" s="2"/>
      <c r="S282" s="2"/>
      <c r="T282" s="1"/>
      <c r="Z282" s="1"/>
      <c r="AA282" s="1"/>
      <c r="AB282" s="1"/>
      <c r="AC282" s="1"/>
      <c r="AD282" s="1"/>
    </row>
    <row r="283" spans="7:30">
      <c r="G283" s="1"/>
      <c r="H283" s="1"/>
      <c r="I283" s="1"/>
      <c r="J283" s="1"/>
      <c r="L283" s="1"/>
      <c r="M283" s="1"/>
      <c r="N283" s="1"/>
      <c r="O283" s="2"/>
      <c r="S283" s="2"/>
      <c r="T283" s="1"/>
      <c r="Z283" s="1"/>
      <c r="AA283" s="1"/>
      <c r="AB283" s="1"/>
      <c r="AC283" s="1"/>
      <c r="AD283" s="1"/>
    </row>
    <row r="284" spans="7:30">
      <c r="G284" s="1"/>
      <c r="H284" s="1"/>
      <c r="I284" s="1"/>
      <c r="J284" s="1"/>
      <c r="L284" s="1"/>
      <c r="M284" s="1"/>
      <c r="N284" s="1"/>
      <c r="O284" s="2"/>
      <c r="S284" s="2"/>
      <c r="T284" s="1"/>
      <c r="Z284" s="1"/>
      <c r="AA284" s="1"/>
      <c r="AB284" s="1"/>
      <c r="AC284" s="1"/>
      <c r="AD284" s="1"/>
    </row>
    <row r="285" spans="7:30">
      <c r="G285" s="1"/>
      <c r="H285" s="1"/>
      <c r="I285" s="1"/>
      <c r="J285" s="1"/>
      <c r="L285" s="1"/>
      <c r="M285" s="1"/>
      <c r="N285" s="1"/>
      <c r="O285" s="2"/>
      <c r="S285" s="2"/>
      <c r="T285" s="1"/>
      <c r="Z285" s="1"/>
      <c r="AA285" s="1"/>
      <c r="AB285" s="1"/>
      <c r="AC285" s="1"/>
      <c r="AD285" s="1"/>
    </row>
    <row r="286" spans="7:30">
      <c r="G286" s="1"/>
      <c r="H286" s="1"/>
      <c r="I286" s="1"/>
      <c r="J286" s="1"/>
      <c r="L286" s="1"/>
      <c r="M286" s="1"/>
      <c r="N286" s="1"/>
      <c r="O286" s="2"/>
      <c r="S286" s="2"/>
      <c r="T286" s="1"/>
      <c r="Z286" s="1"/>
      <c r="AA286" s="1"/>
      <c r="AB286" s="1"/>
      <c r="AC286" s="1"/>
      <c r="AD286" s="1"/>
    </row>
    <row r="287" spans="7:30">
      <c r="G287" s="1"/>
      <c r="H287" s="1"/>
      <c r="I287" s="1"/>
      <c r="J287" s="1"/>
      <c r="L287" s="1"/>
      <c r="M287" s="1"/>
      <c r="N287" s="1"/>
      <c r="O287" s="2"/>
      <c r="S287" s="2"/>
      <c r="T287" s="1"/>
      <c r="Z287" s="1"/>
      <c r="AA287" s="1"/>
      <c r="AB287" s="1"/>
      <c r="AC287" s="1"/>
      <c r="AD287" s="1"/>
    </row>
    <row r="288" spans="7:30">
      <c r="G288" s="1"/>
      <c r="H288" s="1"/>
      <c r="I288" s="1"/>
      <c r="J288" s="1"/>
      <c r="L288" s="1"/>
      <c r="M288" s="1"/>
      <c r="N288" s="1"/>
      <c r="O288" s="2"/>
      <c r="S288" s="2"/>
      <c r="T288" s="1"/>
      <c r="Z288" s="1"/>
      <c r="AA288" s="1"/>
      <c r="AB288" s="1"/>
      <c r="AC288" s="1"/>
      <c r="AD288" s="1"/>
    </row>
    <row r="289" spans="7:30">
      <c r="G289" s="1"/>
      <c r="H289" s="1"/>
      <c r="I289" s="1"/>
      <c r="J289" s="1"/>
      <c r="L289" s="1"/>
      <c r="M289" s="1"/>
      <c r="N289" s="1"/>
      <c r="O289" s="2"/>
      <c r="S289" s="2"/>
      <c r="T289" s="1"/>
      <c r="Z289" s="1"/>
      <c r="AA289" s="1"/>
      <c r="AB289" s="1"/>
      <c r="AC289" s="1"/>
      <c r="AD289" s="1"/>
    </row>
    <row r="290" spans="7:30">
      <c r="G290" s="1"/>
      <c r="H290" s="1"/>
      <c r="I290" s="1"/>
      <c r="J290" s="1"/>
      <c r="L290" s="1"/>
      <c r="M290" s="1"/>
      <c r="N290" s="1"/>
      <c r="O290" s="2"/>
      <c r="S290" s="2"/>
      <c r="T290" s="1"/>
      <c r="Z290" s="1"/>
      <c r="AA290" s="1"/>
      <c r="AB290" s="1"/>
      <c r="AC290" s="1"/>
      <c r="AD290" s="1"/>
    </row>
    <row r="291" spans="7:30">
      <c r="G291" s="1"/>
      <c r="H291" s="1"/>
      <c r="I291" s="1"/>
      <c r="J291" s="1"/>
      <c r="L291" s="1"/>
      <c r="M291" s="1"/>
      <c r="N291" s="1"/>
      <c r="O291" s="2"/>
      <c r="S291" s="2"/>
      <c r="T291" s="1"/>
      <c r="Z291" s="1"/>
      <c r="AA291" s="1"/>
      <c r="AB291" s="1"/>
      <c r="AC291" s="1"/>
      <c r="AD291" s="1"/>
    </row>
    <row r="292" spans="7:30">
      <c r="G292" s="1"/>
      <c r="H292" s="1"/>
      <c r="I292" s="1"/>
      <c r="J292" s="1"/>
      <c r="L292" s="1"/>
      <c r="M292" s="1"/>
      <c r="N292" s="1"/>
      <c r="O292" s="2"/>
      <c r="S292" s="2"/>
      <c r="T292" s="1"/>
      <c r="Z292" s="1"/>
      <c r="AA292" s="1"/>
      <c r="AB292" s="1"/>
      <c r="AC292" s="1"/>
      <c r="AD292" s="1"/>
    </row>
    <row r="293" spans="7:30">
      <c r="G293" s="1"/>
      <c r="H293" s="1"/>
      <c r="I293" s="1"/>
      <c r="J293" s="1"/>
      <c r="L293" s="1"/>
      <c r="M293" s="1"/>
      <c r="N293" s="1"/>
      <c r="O293" s="2"/>
      <c r="S293" s="2"/>
      <c r="T293" s="1"/>
      <c r="Z293" s="1"/>
      <c r="AA293" s="1"/>
      <c r="AB293" s="1"/>
      <c r="AC293" s="1"/>
      <c r="AD293" s="1"/>
    </row>
    <row r="294" spans="7:30">
      <c r="G294" s="1"/>
      <c r="H294" s="1"/>
      <c r="I294" s="1"/>
      <c r="J294" s="1"/>
      <c r="L294" s="1"/>
      <c r="M294" s="1"/>
      <c r="N294" s="1"/>
      <c r="O294" s="2"/>
      <c r="S294" s="2"/>
      <c r="T294" s="1"/>
      <c r="Z294" s="1"/>
      <c r="AA294" s="1"/>
      <c r="AB294" s="1"/>
      <c r="AC294" s="1"/>
      <c r="AD294" s="1"/>
    </row>
    <row r="295" spans="7:30">
      <c r="G295" s="1"/>
      <c r="H295" s="1"/>
      <c r="I295" s="1"/>
      <c r="J295" s="1"/>
      <c r="L295" s="1"/>
      <c r="M295" s="1"/>
      <c r="N295" s="1"/>
      <c r="O295" s="2"/>
      <c r="S295" s="2"/>
      <c r="T295" s="1"/>
      <c r="Z295" s="1"/>
      <c r="AA295" s="1"/>
      <c r="AB295" s="1"/>
      <c r="AC295" s="1"/>
      <c r="AD295" s="1"/>
    </row>
    <row r="296" spans="7:30">
      <c r="G296" s="1"/>
      <c r="H296" s="1"/>
      <c r="I296" s="1"/>
      <c r="J296" s="1"/>
      <c r="L296" s="1"/>
      <c r="M296" s="1"/>
      <c r="N296" s="1"/>
      <c r="O296" s="2"/>
      <c r="S296" s="2"/>
      <c r="T296" s="1"/>
      <c r="Z296" s="1"/>
      <c r="AA296" s="1"/>
      <c r="AB296" s="1"/>
      <c r="AC296" s="1"/>
      <c r="AD296" s="1"/>
    </row>
    <row r="297" spans="7:30">
      <c r="G297" s="1"/>
      <c r="H297" s="1"/>
      <c r="I297" s="1"/>
      <c r="J297" s="1"/>
      <c r="L297" s="1"/>
      <c r="M297" s="1"/>
      <c r="N297" s="1"/>
      <c r="O297" s="2"/>
      <c r="S297" s="2"/>
      <c r="T297" s="1"/>
      <c r="Z297" s="1"/>
      <c r="AA297" s="1"/>
      <c r="AB297" s="1"/>
      <c r="AC297" s="1"/>
      <c r="AD297" s="1"/>
    </row>
    <row r="298" spans="7:30">
      <c r="G298" s="1"/>
      <c r="H298" s="1"/>
      <c r="I298" s="1"/>
      <c r="J298" s="1"/>
      <c r="L298" s="1"/>
      <c r="M298" s="1"/>
      <c r="N298" s="1"/>
      <c r="O298" s="2"/>
      <c r="S298" s="2"/>
      <c r="T298" s="1"/>
      <c r="Z298" s="1"/>
      <c r="AA298" s="1"/>
      <c r="AB298" s="1"/>
      <c r="AC298" s="1"/>
      <c r="AD298" s="1"/>
    </row>
    <row r="299" spans="7:30">
      <c r="G299" s="1"/>
      <c r="H299" s="1"/>
      <c r="I299" s="1"/>
      <c r="J299" s="1"/>
      <c r="L299" s="1"/>
      <c r="M299" s="1"/>
      <c r="N299" s="1"/>
      <c r="O299" s="2"/>
      <c r="S299" s="2"/>
      <c r="T299" s="1"/>
      <c r="Z299" s="1"/>
      <c r="AA299" s="1"/>
      <c r="AB299" s="1"/>
      <c r="AC299" s="1"/>
      <c r="AD299" s="1"/>
    </row>
    <row r="300" spans="7:30">
      <c r="G300" s="1"/>
      <c r="H300" s="1"/>
      <c r="I300" s="1"/>
      <c r="J300" s="1"/>
      <c r="L300" s="1"/>
      <c r="M300" s="1"/>
      <c r="N300" s="1"/>
      <c r="O300" s="2"/>
      <c r="S300" s="2"/>
      <c r="T300" s="1"/>
      <c r="Z300" s="1"/>
      <c r="AA300" s="1"/>
      <c r="AB300" s="1"/>
      <c r="AC300" s="1"/>
      <c r="AD300" s="1"/>
    </row>
    <row r="301" spans="7:30">
      <c r="G301" s="1"/>
      <c r="H301" s="1"/>
      <c r="I301" s="1"/>
      <c r="J301" s="1"/>
      <c r="L301" s="1"/>
      <c r="M301" s="1"/>
      <c r="N301" s="1"/>
      <c r="O301" s="2"/>
      <c r="S301" s="2"/>
      <c r="T301" s="1"/>
      <c r="Z301" s="1"/>
      <c r="AA301" s="1"/>
      <c r="AB301" s="1"/>
      <c r="AC301" s="1"/>
      <c r="AD301" s="1"/>
    </row>
    <row r="302" spans="7:30">
      <c r="G302" s="1"/>
      <c r="H302" s="1"/>
      <c r="I302" s="1"/>
      <c r="J302" s="1"/>
      <c r="L302" s="1"/>
      <c r="M302" s="1"/>
      <c r="N302" s="1"/>
      <c r="O302" s="2"/>
      <c r="S302" s="2"/>
      <c r="T302" s="1"/>
      <c r="Z302" s="1"/>
      <c r="AA302" s="1"/>
      <c r="AB302" s="1"/>
      <c r="AC302" s="1"/>
      <c r="AD302" s="1"/>
    </row>
    <row r="303" spans="7:30">
      <c r="G303" s="1"/>
      <c r="H303" s="1"/>
      <c r="I303" s="1"/>
      <c r="J303" s="1"/>
      <c r="L303" s="1"/>
      <c r="M303" s="1"/>
      <c r="N303" s="1"/>
      <c r="O303" s="2"/>
      <c r="S303" s="2"/>
      <c r="T303" s="1"/>
      <c r="Z303" s="1"/>
      <c r="AA303" s="1"/>
      <c r="AB303" s="1"/>
      <c r="AC303" s="1"/>
      <c r="AD303" s="1"/>
    </row>
    <row r="304" spans="7:30">
      <c r="G304" s="1"/>
      <c r="H304" s="1"/>
      <c r="I304" s="1"/>
      <c r="J304" s="1"/>
      <c r="L304" s="1"/>
      <c r="M304" s="1"/>
      <c r="N304" s="1"/>
      <c r="O304" s="2"/>
      <c r="S304" s="2"/>
      <c r="T304" s="1"/>
      <c r="Z304" s="1"/>
      <c r="AA304" s="1"/>
      <c r="AB304" s="1"/>
      <c r="AC304" s="1"/>
      <c r="AD304" s="1"/>
    </row>
    <row r="305" spans="7:30">
      <c r="G305" s="1"/>
      <c r="H305" s="1"/>
      <c r="I305" s="1"/>
      <c r="J305" s="1"/>
      <c r="L305" s="1"/>
      <c r="M305" s="1"/>
      <c r="N305" s="1"/>
      <c r="O305" s="2"/>
      <c r="S305" s="2"/>
      <c r="T305" s="1"/>
      <c r="Z305" s="1"/>
      <c r="AA305" s="1"/>
      <c r="AB305" s="1"/>
      <c r="AC305" s="1"/>
      <c r="AD305" s="1"/>
    </row>
    <row r="306" spans="7:30">
      <c r="G306" s="1"/>
      <c r="H306" s="1"/>
      <c r="I306" s="1"/>
      <c r="J306" s="1"/>
      <c r="L306" s="1"/>
      <c r="M306" s="1"/>
      <c r="N306" s="1"/>
      <c r="O306" s="2"/>
      <c r="S306" s="2"/>
      <c r="T306" s="1"/>
      <c r="Z306" s="1"/>
      <c r="AA306" s="1"/>
      <c r="AB306" s="1"/>
      <c r="AC306" s="1"/>
      <c r="AD306" s="1"/>
    </row>
    <row r="307" spans="7:30">
      <c r="G307" s="1"/>
      <c r="H307" s="1"/>
      <c r="I307" s="1"/>
      <c r="J307" s="1"/>
      <c r="L307" s="1"/>
      <c r="M307" s="1"/>
      <c r="N307" s="1"/>
      <c r="O307" s="2"/>
      <c r="S307" s="2"/>
      <c r="T307" s="1"/>
      <c r="Z307" s="1"/>
      <c r="AA307" s="1"/>
      <c r="AB307" s="1"/>
      <c r="AC307" s="1"/>
      <c r="AD307" s="1"/>
    </row>
    <row r="308" spans="7:30">
      <c r="G308" s="1"/>
      <c r="H308" s="1"/>
      <c r="I308" s="1"/>
      <c r="J308" s="1"/>
      <c r="L308" s="1"/>
      <c r="M308" s="1"/>
      <c r="N308" s="1"/>
      <c r="O308" s="2"/>
      <c r="S308" s="2"/>
      <c r="T308" s="1"/>
      <c r="Z308" s="1"/>
      <c r="AA308" s="1"/>
      <c r="AB308" s="1"/>
      <c r="AC308" s="1"/>
      <c r="AD308" s="1"/>
    </row>
    <row r="309" spans="7:30">
      <c r="G309" s="1"/>
      <c r="H309" s="1"/>
      <c r="I309" s="1"/>
      <c r="J309" s="1"/>
      <c r="L309" s="1"/>
      <c r="M309" s="1"/>
      <c r="N309" s="1"/>
      <c r="O309" s="2"/>
      <c r="S309" s="2"/>
      <c r="T309" s="1"/>
      <c r="Z309" s="1"/>
      <c r="AA309" s="1"/>
      <c r="AB309" s="1"/>
      <c r="AC309" s="1"/>
      <c r="AD309" s="1"/>
    </row>
    <row r="310" spans="7:30">
      <c r="G310" s="1"/>
      <c r="H310" s="1"/>
      <c r="I310" s="1"/>
      <c r="J310" s="1"/>
      <c r="L310" s="1"/>
      <c r="M310" s="1"/>
      <c r="N310" s="1"/>
      <c r="O310" s="2"/>
      <c r="S310" s="2"/>
      <c r="T310" s="1"/>
      <c r="Z310" s="1"/>
      <c r="AA310" s="1"/>
      <c r="AB310" s="1"/>
      <c r="AC310" s="1"/>
      <c r="AD310" s="1"/>
    </row>
    <row r="311" spans="7:30">
      <c r="G311" s="1"/>
      <c r="H311" s="1"/>
      <c r="I311" s="1"/>
      <c r="J311" s="1"/>
      <c r="L311" s="1"/>
      <c r="M311" s="1"/>
      <c r="N311" s="1"/>
      <c r="O311" s="2"/>
      <c r="S311" s="2"/>
      <c r="T311" s="1"/>
      <c r="Z311" s="1"/>
      <c r="AA311" s="1"/>
      <c r="AB311" s="1"/>
      <c r="AC311" s="1"/>
      <c r="AD311" s="1"/>
    </row>
    <row r="312" spans="7:30">
      <c r="G312" s="1"/>
      <c r="H312" s="1"/>
      <c r="I312" s="1"/>
      <c r="J312" s="1"/>
      <c r="L312" s="1"/>
      <c r="M312" s="1"/>
      <c r="N312" s="1"/>
      <c r="O312" s="2"/>
      <c r="S312" s="2"/>
      <c r="T312" s="1"/>
      <c r="Z312" s="1"/>
      <c r="AA312" s="1"/>
      <c r="AB312" s="1"/>
      <c r="AC312" s="1"/>
      <c r="AD312" s="1"/>
    </row>
    <row r="313" spans="7:30">
      <c r="G313" s="1"/>
      <c r="H313" s="1"/>
      <c r="I313" s="1"/>
      <c r="J313" s="1"/>
      <c r="L313" s="1"/>
      <c r="M313" s="1"/>
      <c r="N313" s="1"/>
      <c r="O313" s="2"/>
      <c r="S313" s="2"/>
      <c r="T313" s="1"/>
      <c r="Z313" s="1"/>
      <c r="AA313" s="1"/>
      <c r="AB313" s="1"/>
      <c r="AC313" s="1"/>
      <c r="AD313" s="1"/>
    </row>
    <row r="314" spans="7:30">
      <c r="G314" s="1"/>
      <c r="H314" s="1"/>
      <c r="I314" s="1"/>
      <c r="J314" s="1"/>
      <c r="L314" s="1"/>
      <c r="M314" s="1"/>
      <c r="N314" s="1"/>
      <c r="O314" s="2"/>
      <c r="S314" s="2"/>
      <c r="T314" s="1"/>
      <c r="Z314" s="1"/>
      <c r="AA314" s="1"/>
      <c r="AB314" s="1"/>
      <c r="AC314" s="1"/>
      <c r="AD314" s="1"/>
    </row>
    <row r="315" spans="7:30">
      <c r="G315" s="1"/>
      <c r="H315" s="1"/>
      <c r="I315" s="1"/>
      <c r="J315" s="1"/>
      <c r="L315" s="1"/>
      <c r="M315" s="1"/>
      <c r="N315" s="1"/>
      <c r="O315" s="2"/>
      <c r="S315" s="2"/>
      <c r="T315" s="1"/>
      <c r="Z315" s="1"/>
      <c r="AA315" s="1"/>
      <c r="AB315" s="1"/>
      <c r="AC315" s="1"/>
      <c r="AD315" s="1"/>
    </row>
    <row r="316" spans="7:30">
      <c r="G316" s="1"/>
      <c r="H316" s="1"/>
      <c r="I316" s="1"/>
      <c r="J316" s="1"/>
      <c r="L316" s="1"/>
      <c r="M316" s="1"/>
      <c r="N316" s="1"/>
      <c r="O316" s="2"/>
      <c r="S316" s="2"/>
      <c r="T316" s="1"/>
      <c r="Z316" s="1"/>
      <c r="AA316" s="1"/>
      <c r="AB316" s="1"/>
      <c r="AC316" s="1"/>
      <c r="AD316" s="1"/>
    </row>
    <row r="317" spans="7:30">
      <c r="G317" s="1"/>
      <c r="H317" s="1"/>
      <c r="I317" s="1"/>
      <c r="J317" s="1"/>
      <c r="L317" s="1"/>
      <c r="M317" s="1"/>
      <c r="N317" s="1"/>
      <c r="O317" s="2"/>
      <c r="S317" s="2"/>
      <c r="T317" s="1"/>
      <c r="Z317" s="1"/>
      <c r="AA317" s="1"/>
      <c r="AB317" s="1"/>
      <c r="AC317" s="1"/>
      <c r="AD317" s="1"/>
    </row>
    <row r="318" spans="7:30">
      <c r="G318" s="1"/>
      <c r="H318" s="1"/>
      <c r="I318" s="1"/>
      <c r="J318" s="1"/>
      <c r="L318" s="1"/>
      <c r="M318" s="1"/>
      <c r="N318" s="1"/>
      <c r="O318" s="2"/>
      <c r="S318" s="2"/>
      <c r="T318" s="1"/>
      <c r="Z318" s="1"/>
      <c r="AA318" s="1"/>
      <c r="AB318" s="1"/>
      <c r="AC318" s="1"/>
      <c r="AD318" s="1"/>
    </row>
    <row r="319" spans="7:30">
      <c r="G319" s="1"/>
      <c r="H319" s="1"/>
      <c r="I319" s="1"/>
      <c r="J319" s="1"/>
      <c r="L319" s="1"/>
      <c r="M319" s="1"/>
      <c r="N319" s="1"/>
      <c r="O319" s="2"/>
      <c r="S319" s="2"/>
      <c r="T319" s="1"/>
      <c r="Z319" s="1"/>
      <c r="AA319" s="1"/>
      <c r="AB319" s="1"/>
      <c r="AC319" s="1"/>
      <c r="AD319" s="1"/>
    </row>
    <row r="320" spans="7:30">
      <c r="G320" s="1"/>
      <c r="H320" s="1"/>
      <c r="I320" s="1"/>
      <c r="J320" s="1"/>
      <c r="L320" s="1"/>
      <c r="M320" s="1"/>
      <c r="N320" s="1"/>
      <c r="O320" s="2"/>
      <c r="S320" s="2"/>
      <c r="T320" s="1"/>
      <c r="Z320" s="1"/>
      <c r="AA320" s="1"/>
      <c r="AB320" s="1"/>
      <c r="AC320" s="1"/>
      <c r="AD320" s="1"/>
    </row>
    <row r="321" spans="7:30">
      <c r="G321" s="1"/>
      <c r="H321" s="1"/>
      <c r="I321" s="1"/>
      <c r="J321" s="1"/>
      <c r="L321" s="1"/>
      <c r="M321" s="1"/>
      <c r="N321" s="1"/>
      <c r="O321" s="2"/>
      <c r="S321" s="2"/>
      <c r="T321" s="1"/>
      <c r="Z321" s="1"/>
      <c r="AA321" s="1"/>
      <c r="AB321" s="1"/>
      <c r="AC321" s="1"/>
      <c r="AD321" s="1"/>
    </row>
    <row r="322" spans="7:30">
      <c r="G322" s="1"/>
      <c r="H322" s="1"/>
      <c r="I322" s="1"/>
      <c r="J322" s="1"/>
      <c r="L322" s="1"/>
      <c r="M322" s="1"/>
      <c r="N322" s="1"/>
      <c r="O322" s="2"/>
      <c r="S322" s="2"/>
      <c r="T322" s="1"/>
      <c r="Z322" s="1"/>
      <c r="AA322" s="1"/>
      <c r="AB322" s="1"/>
      <c r="AC322" s="1"/>
      <c r="AD322" s="1"/>
    </row>
    <row r="323" spans="7:30">
      <c r="G323" s="1"/>
      <c r="H323" s="1"/>
      <c r="I323" s="1"/>
      <c r="J323" s="1"/>
      <c r="L323" s="1"/>
      <c r="M323" s="1"/>
      <c r="N323" s="1"/>
      <c r="O323" s="2"/>
      <c r="S323" s="2"/>
      <c r="T323" s="1"/>
      <c r="Z323" s="1"/>
      <c r="AA323" s="1"/>
      <c r="AB323" s="1"/>
      <c r="AC323" s="1"/>
      <c r="AD323" s="1"/>
    </row>
    <row r="324" spans="7:30">
      <c r="G324" s="1"/>
      <c r="H324" s="1"/>
      <c r="I324" s="1"/>
      <c r="J324" s="1"/>
      <c r="L324" s="1"/>
      <c r="M324" s="1"/>
      <c r="N324" s="1"/>
      <c r="O324" s="2"/>
      <c r="S324" s="2"/>
      <c r="T324" s="1"/>
      <c r="Z324" s="1"/>
      <c r="AA324" s="1"/>
      <c r="AB324" s="1"/>
      <c r="AC324" s="1"/>
      <c r="AD324" s="1"/>
    </row>
    <row r="325" spans="7:30">
      <c r="G325" s="1"/>
      <c r="H325" s="1"/>
      <c r="I325" s="1"/>
      <c r="J325" s="1"/>
      <c r="L325" s="1"/>
      <c r="M325" s="1"/>
      <c r="N325" s="1"/>
      <c r="O325" s="2"/>
      <c r="S325" s="2"/>
      <c r="T325" s="1"/>
      <c r="Z325" s="1"/>
      <c r="AA325" s="1"/>
      <c r="AB325" s="1"/>
      <c r="AC325" s="1"/>
      <c r="AD325" s="1"/>
    </row>
    <row r="326" spans="7:30">
      <c r="G326" s="1"/>
      <c r="H326" s="1"/>
      <c r="I326" s="1"/>
      <c r="J326" s="1"/>
      <c r="L326" s="1"/>
      <c r="M326" s="1"/>
      <c r="N326" s="1"/>
      <c r="O326" s="2"/>
      <c r="S326" s="2"/>
      <c r="T326" s="1"/>
      <c r="Z326" s="1"/>
      <c r="AA326" s="1"/>
      <c r="AB326" s="1"/>
      <c r="AC326" s="1"/>
      <c r="AD326" s="1"/>
    </row>
    <row r="327" spans="7:30">
      <c r="G327" s="1"/>
      <c r="H327" s="1"/>
      <c r="I327" s="1"/>
      <c r="J327" s="1"/>
      <c r="L327" s="1"/>
      <c r="M327" s="1"/>
      <c r="N327" s="1"/>
      <c r="O327" s="2"/>
      <c r="S327" s="2"/>
      <c r="T327" s="1"/>
      <c r="Z327" s="1"/>
      <c r="AA327" s="1"/>
      <c r="AB327" s="1"/>
      <c r="AC327" s="1"/>
      <c r="AD327" s="1"/>
    </row>
    <row r="328" spans="7:30">
      <c r="G328" s="1"/>
      <c r="H328" s="1"/>
      <c r="I328" s="1"/>
      <c r="J328" s="1"/>
      <c r="L328" s="1"/>
      <c r="M328" s="1"/>
      <c r="N328" s="1"/>
      <c r="O328" s="2"/>
      <c r="S328" s="2"/>
      <c r="T328" s="1"/>
      <c r="Z328" s="1"/>
      <c r="AA328" s="1"/>
      <c r="AB328" s="1"/>
      <c r="AC328" s="1"/>
      <c r="AD328" s="1"/>
    </row>
    <row r="329" spans="7:30">
      <c r="G329" s="1"/>
      <c r="H329" s="1"/>
      <c r="I329" s="1"/>
      <c r="J329" s="1"/>
      <c r="L329" s="1"/>
      <c r="M329" s="1"/>
      <c r="N329" s="1"/>
      <c r="O329" s="2"/>
      <c r="S329" s="2"/>
      <c r="T329" s="1"/>
      <c r="Z329" s="1"/>
      <c r="AA329" s="1"/>
      <c r="AB329" s="1"/>
      <c r="AC329" s="1"/>
      <c r="AD329" s="1"/>
    </row>
    <row r="330" spans="7:30">
      <c r="G330" s="1"/>
      <c r="H330" s="1"/>
      <c r="I330" s="1"/>
      <c r="J330" s="1"/>
      <c r="L330" s="1"/>
      <c r="M330" s="1"/>
      <c r="N330" s="1"/>
      <c r="O330" s="2"/>
      <c r="S330" s="2"/>
      <c r="T330" s="1"/>
      <c r="Z330" s="1"/>
      <c r="AA330" s="1"/>
      <c r="AB330" s="1"/>
      <c r="AC330" s="1"/>
      <c r="AD330" s="1"/>
    </row>
    <row r="331" spans="7:30">
      <c r="G331" s="1"/>
      <c r="H331" s="1"/>
      <c r="I331" s="1"/>
      <c r="J331" s="1"/>
      <c r="L331" s="1"/>
      <c r="M331" s="1"/>
      <c r="N331" s="1"/>
      <c r="O331" s="2"/>
      <c r="S331" s="2"/>
      <c r="T331" s="1"/>
      <c r="Z331" s="1"/>
      <c r="AA331" s="1"/>
      <c r="AB331" s="1"/>
      <c r="AC331" s="1"/>
      <c r="AD331" s="1"/>
    </row>
    <row r="332" spans="7:30">
      <c r="G332" s="1"/>
      <c r="H332" s="1"/>
      <c r="I332" s="1"/>
      <c r="J332" s="1"/>
      <c r="L332" s="1"/>
      <c r="M332" s="1"/>
      <c r="N332" s="1"/>
      <c r="O332" s="2"/>
      <c r="S332" s="2"/>
      <c r="T332" s="1"/>
      <c r="Z332" s="1"/>
      <c r="AA332" s="1"/>
      <c r="AB332" s="1"/>
      <c r="AC332" s="1"/>
      <c r="AD332" s="1"/>
    </row>
    <row r="333" spans="7:30">
      <c r="G333" s="1"/>
      <c r="H333" s="1"/>
      <c r="I333" s="1"/>
      <c r="J333" s="1"/>
      <c r="L333" s="1"/>
      <c r="M333" s="1"/>
      <c r="N333" s="1"/>
      <c r="O333" s="2"/>
      <c r="S333" s="2"/>
      <c r="T333" s="1"/>
      <c r="Z333" s="1"/>
      <c r="AA333" s="1"/>
      <c r="AB333" s="1"/>
      <c r="AC333" s="1"/>
      <c r="AD333" s="1"/>
    </row>
    <row r="334" spans="7:30">
      <c r="G334" s="1"/>
      <c r="H334" s="1"/>
      <c r="I334" s="1"/>
      <c r="J334" s="1"/>
      <c r="L334" s="1"/>
      <c r="M334" s="1"/>
      <c r="N334" s="1"/>
      <c r="O334" s="2"/>
      <c r="S334" s="2"/>
      <c r="T334" s="1"/>
      <c r="Z334" s="1"/>
      <c r="AA334" s="1"/>
      <c r="AB334" s="1"/>
      <c r="AC334" s="1"/>
      <c r="AD334" s="1"/>
    </row>
    <row r="335" spans="7:30">
      <c r="G335" s="1"/>
      <c r="H335" s="1"/>
      <c r="I335" s="1"/>
      <c r="J335" s="1"/>
      <c r="L335" s="1"/>
      <c r="M335" s="1"/>
      <c r="N335" s="1"/>
      <c r="O335" s="2"/>
      <c r="S335" s="2"/>
      <c r="T335" s="1"/>
      <c r="Z335" s="1"/>
      <c r="AA335" s="1"/>
      <c r="AB335" s="1"/>
      <c r="AC335" s="1"/>
      <c r="AD335" s="1"/>
    </row>
    <row r="336" spans="7:30">
      <c r="G336" s="1"/>
      <c r="H336" s="1"/>
      <c r="I336" s="1"/>
      <c r="J336" s="1"/>
      <c r="L336" s="1"/>
      <c r="M336" s="1"/>
      <c r="N336" s="1"/>
      <c r="O336" s="2"/>
      <c r="S336" s="2"/>
      <c r="T336" s="1"/>
      <c r="Z336" s="1"/>
      <c r="AA336" s="1"/>
      <c r="AB336" s="1"/>
      <c r="AC336" s="1"/>
      <c r="AD336" s="1"/>
    </row>
    <row r="337" spans="7:30">
      <c r="G337" s="1"/>
      <c r="H337" s="1"/>
      <c r="I337" s="1"/>
      <c r="J337" s="1"/>
      <c r="L337" s="1"/>
      <c r="M337" s="1"/>
      <c r="N337" s="1"/>
      <c r="O337" s="2"/>
      <c r="S337" s="2"/>
      <c r="T337" s="1"/>
      <c r="Z337" s="1"/>
      <c r="AA337" s="1"/>
      <c r="AB337" s="1"/>
      <c r="AC337" s="1"/>
      <c r="AD337" s="1"/>
    </row>
    <row r="338" spans="7:30">
      <c r="G338" s="1"/>
      <c r="H338" s="1"/>
      <c r="I338" s="1"/>
      <c r="J338" s="1"/>
      <c r="L338" s="1"/>
      <c r="M338" s="1"/>
      <c r="N338" s="1"/>
      <c r="O338" s="2"/>
      <c r="S338" s="2"/>
      <c r="T338" s="1"/>
      <c r="Z338" s="1"/>
      <c r="AA338" s="1"/>
      <c r="AB338" s="1"/>
      <c r="AC338" s="1"/>
      <c r="AD338" s="1"/>
    </row>
    <row r="339" spans="7:30">
      <c r="G339" s="1"/>
      <c r="H339" s="1"/>
      <c r="I339" s="1"/>
      <c r="J339" s="1"/>
      <c r="L339" s="1"/>
      <c r="M339" s="1"/>
      <c r="N339" s="1"/>
      <c r="O339" s="2"/>
      <c r="S339" s="2"/>
      <c r="T339" s="1"/>
      <c r="Z339" s="1"/>
      <c r="AA339" s="1"/>
      <c r="AB339" s="1"/>
      <c r="AC339" s="1"/>
      <c r="AD339" s="1"/>
    </row>
    <row r="340" spans="7:30">
      <c r="G340" s="1"/>
      <c r="H340" s="1"/>
      <c r="I340" s="1"/>
      <c r="J340" s="1"/>
      <c r="L340" s="1"/>
      <c r="M340" s="1"/>
      <c r="N340" s="1"/>
      <c r="O340" s="2"/>
      <c r="S340" s="2"/>
      <c r="T340" s="1"/>
      <c r="Z340" s="1"/>
      <c r="AA340" s="1"/>
      <c r="AB340" s="1"/>
      <c r="AC340" s="1"/>
      <c r="AD340" s="1"/>
    </row>
    <row r="341" spans="7:30">
      <c r="G341" s="1"/>
      <c r="H341" s="1"/>
      <c r="I341" s="1"/>
      <c r="J341" s="1"/>
      <c r="L341" s="1"/>
      <c r="M341" s="1"/>
      <c r="N341" s="1"/>
      <c r="O341" s="2"/>
      <c r="S341" s="2"/>
      <c r="T341" s="1"/>
      <c r="Z341" s="1"/>
      <c r="AA341" s="1"/>
      <c r="AB341" s="1"/>
      <c r="AC341" s="1"/>
      <c r="AD341" s="1"/>
    </row>
    <row r="342" spans="7:30">
      <c r="G342" s="1"/>
      <c r="H342" s="1"/>
      <c r="I342" s="1"/>
      <c r="J342" s="1"/>
      <c r="L342" s="1"/>
      <c r="M342" s="1"/>
      <c r="N342" s="1"/>
      <c r="O342" s="2"/>
      <c r="S342" s="2"/>
      <c r="T342" s="1"/>
      <c r="Z342" s="1"/>
      <c r="AA342" s="1"/>
      <c r="AB342" s="1"/>
      <c r="AC342" s="1"/>
      <c r="AD342" s="1"/>
    </row>
    <row r="343" spans="7:30">
      <c r="G343" s="1"/>
      <c r="H343" s="1"/>
      <c r="I343" s="1"/>
      <c r="J343" s="1"/>
      <c r="L343" s="1"/>
      <c r="M343" s="1"/>
      <c r="N343" s="1"/>
      <c r="O343" s="2"/>
      <c r="S343" s="2"/>
      <c r="T343" s="1"/>
      <c r="Z343" s="1"/>
      <c r="AA343" s="1"/>
      <c r="AB343" s="1"/>
      <c r="AC343" s="1"/>
      <c r="AD343" s="1"/>
    </row>
    <row r="344" spans="7:30">
      <c r="G344" s="1"/>
      <c r="H344" s="1"/>
      <c r="I344" s="1"/>
      <c r="J344" s="1"/>
      <c r="L344" s="1"/>
      <c r="M344" s="1"/>
      <c r="N344" s="1"/>
      <c r="O344" s="2"/>
      <c r="S344" s="2"/>
      <c r="T344" s="1"/>
      <c r="Z344" s="1"/>
      <c r="AA344" s="1"/>
      <c r="AB344" s="1"/>
      <c r="AC344" s="1"/>
      <c r="AD344" s="1"/>
    </row>
    <row r="345" spans="7:30">
      <c r="G345" s="1"/>
      <c r="H345" s="1"/>
      <c r="I345" s="1"/>
      <c r="J345" s="1"/>
      <c r="L345" s="1"/>
      <c r="M345" s="1"/>
      <c r="N345" s="1"/>
      <c r="O345" s="2"/>
      <c r="S345" s="2"/>
      <c r="T345" s="1"/>
      <c r="Z345" s="1"/>
      <c r="AA345" s="1"/>
      <c r="AB345" s="1"/>
      <c r="AC345" s="1"/>
      <c r="AD345" s="1"/>
    </row>
    <row r="346" spans="7:30">
      <c r="G346" s="1"/>
      <c r="H346" s="1"/>
      <c r="I346" s="1"/>
      <c r="J346" s="1"/>
      <c r="L346" s="1"/>
      <c r="M346" s="1"/>
      <c r="N346" s="1"/>
      <c r="O346" s="2"/>
      <c r="S346" s="2"/>
      <c r="T346" s="1"/>
      <c r="Z346" s="1"/>
      <c r="AA346" s="1"/>
      <c r="AB346" s="1"/>
      <c r="AC346" s="1"/>
      <c r="AD346" s="1"/>
    </row>
    <row r="347" spans="7:30">
      <c r="G347" s="1"/>
      <c r="H347" s="1"/>
      <c r="I347" s="1"/>
      <c r="J347" s="1"/>
      <c r="L347" s="1"/>
      <c r="M347" s="1"/>
      <c r="N347" s="1"/>
      <c r="O347" s="2"/>
      <c r="S347" s="2"/>
      <c r="T347" s="1"/>
      <c r="Z347" s="1"/>
      <c r="AA347" s="1"/>
      <c r="AB347" s="1"/>
      <c r="AC347" s="1"/>
      <c r="AD347" s="1"/>
    </row>
    <row r="348" spans="7:30">
      <c r="G348" s="1"/>
      <c r="H348" s="1"/>
      <c r="I348" s="1"/>
      <c r="J348" s="1"/>
      <c r="L348" s="1"/>
      <c r="M348" s="1"/>
      <c r="N348" s="1"/>
      <c r="O348" s="2"/>
      <c r="S348" s="2"/>
      <c r="T348" s="1"/>
      <c r="Z348" s="1"/>
      <c r="AA348" s="1"/>
      <c r="AB348" s="1"/>
      <c r="AC348" s="1"/>
      <c r="AD348" s="1"/>
    </row>
    <row r="349" spans="7:30">
      <c r="G349" s="1"/>
      <c r="H349" s="1"/>
      <c r="I349" s="1"/>
      <c r="J349" s="1"/>
      <c r="L349" s="1"/>
      <c r="M349" s="1"/>
      <c r="N349" s="1"/>
      <c r="O349" s="2"/>
      <c r="S349" s="2"/>
      <c r="T349" s="1"/>
      <c r="Z349" s="1"/>
      <c r="AA349" s="1"/>
      <c r="AB349" s="1"/>
      <c r="AC349" s="1"/>
      <c r="AD349" s="1"/>
    </row>
    <row r="350" spans="7:30">
      <c r="G350" s="1"/>
      <c r="H350" s="1"/>
      <c r="I350" s="1"/>
      <c r="J350" s="1"/>
      <c r="L350" s="1"/>
      <c r="M350" s="1"/>
      <c r="N350" s="1"/>
      <c r="O350" s="2"/>
      <c r="S350" s="2"/>
      <c r="T350" s="1"/>
      <c r="Z350" s="1"/>
      <c r="AA350" s="1"/>
      <c r="AB350" s="1"/>
      <c r="AC350" s="1"/>
      <c r="AD350" s="1"/>
    </row>
    <row r="351" spans="7:30">
      <c r="G351" s="1"/>
      <c r="H351" s="1"/>
      <c r="I351" s="1"/>
      <c r="J351" s="1"/>
      <c r="L351" s="1"/>
      <c r="M351" s="1"/>
      <c r="N351" s="1"/>
      <c r="O351" s="2"/>
      <c r="S351" s="2"/>
      <c r="T351" s="1"/>
      <c r="Z351" s="1"/>
      <c r="AA351" s="1"/>
      <c r="AB351" s="1"/>
      <c r="AC351" s="1"/>
      <c r="AD351" s="1"/>
    </row>
    <row r="352" spans="7:30">
      <c r="G352" s="1"/>
      <c r="H352" s="1"/>
      <c r="I352" s="1"/>
      <c r="J352" s="1"/>
      <c r="L352" s="1"/>
      <c r="M352" s="1"/>
      <c r="N352" s="1"/>
      <c r="O352" s="2"/>
      <c r="S352" s="2"/>
      <c r="T352" s="1"/>
      <c r="Z352" s="1"/>
      <c r="AA352" s="1"/>
      <c r="AB352" s="1"/>
      <c r="AC352" s="1"/>
      <c r="AD352" s="1"/>
    </row>
    <row r="353" spans="7:30">
      <c r="G353" s="1"/>
      <c r="H353" s="1"/>
      <c r="I353" s="1"/>
      <c r="J353" s="1"/>
      <c r="L353" s="1"/>
      <c r="M353" s="1"/>
      <c r="N353" s="1"/>
      <c r="O353" s="2"/>
      <c r="S353" s="2"/>
      <c r="T353" s="1"/>
      <c r="Z353" s="1"/>
      <c r="AA353" s="1"/>
      <c r="AB353" s="1"/>
      <c r="AC353" s="1"/>
      <c r="AD353" s="1"/>
    </row>
    <row r="354" spans="7:30">
      <c r="G354" s="1"/>
      <c r="H354" s="1"/>
      <c r="I354" s="1"/>
      <c r="J354" s="1"/>
      <c r="L354" s="1"/>
      <c r="M354" s="1"/>
      <c r="N354" s="1"/>
      <c r="O354" s="2"/>
      <c r="S354" s="2"/>
      <c r="T354" s="1"/>
      <c r="Z354" s="1"/>
      <c r="AA354" s="1"/>
      <c r="AB354" s="1"/>
      <c r="AC354" s="1"/>
      <c r="AD354" s="1"/>
    </row>
    <row r="355" spans="7:30">
      <c r="G355" s="1"/>
      <c r="H355" s="1"/>
      <c r="I355" s="1"/>
      <c r="J355" s="1"/>
      <c r="L355" s="1"/>
      <c r="M355" s="1"/>
      <c r="N355" s="1"/>
      <c r="O355" s="2"/>
      <c r="S355" s="2"/>
      <c r="T355" s="1"/>
      <c r="Z355" s="1"/>
      <c r="AA355" s="1"/>
      <c r="AB355" s="1"/>
      <c r="AC355" s="1"/>
      <c r="AD355" s="1"/>
    </row>
    <row r="356" spans="7:30">
      <c r="G356" s="1"/>
      <c r="H356" s="1"/>
      <c r="I356" s="1"/>
      <c r="J356" s="1"/>
      <c r="L356" s="1"/>
      <c r="M356" s="1"/>
      <c r="N356" s="1"/>
      <c r="O356" s="2"/>
      <c r="S356" s="2"/>
      <c r="T356" s="1"/>
      <c r="Z356" s="1"/>
      <c r="AA356" s="1"/>
      <c r="AB356" s="1"/>
      <c r="AC356" s="1"/>
      <c r="AD356" s="1"/>
    </row>
    <row r="357" spans="7:30">
      <c r="G357" s="1"/>
      <c r="H357" s="1"/>
      <c r="I357" s="1"/>
      <c r="J357" s="1"/>
      <c r="L357" s="1"/>
      <c r="M357" s="1"/>
      <c r="N357" s="1"/>
      <c r="O357" s="2"/>
      <c r="S357" s="2"/>
      <c r="T357" s="1"/>
      <c r="Z357" s="1"/>
      <c r="AA357" s="1"/>
      <c r="AB357" s="1"/>
      <c r="AC357" s="1"/>
      <c r="AD357" s="1"/>
    </row>
    <row r="358" spans="7:30">
      <c r="G358" s="1"/>
      <c r="H358" s="1"/>
      <c r="I358" s="1"/>
      <c r="J358" s="1"/>
      <c r="L358" s="1"/>
      <c r="M358" s="1"/>
      <c r="N358" s="1"/>
      <c r="O358" s="2"/>
      <c r="S358" s="2"/>
      <c r="T358" s="1"/>
      <c r="Z358" s="1"/>
      <c r="AA358" s="1"/>
      <c r="AB358" s="1"/>
      <c r="AC358" s="1"/>
      <c r="AD358" s="1"/>
    </row>
    <row r="359" spans="7:30">
      <c r="G359" s="1"/>
      <c r="H359" s="1"/>
      <c r="I359" s="1"/>
      <c r="J359" s="1"/>
      <c r="L359" s="1"/>
      <c r="M359" s="1"/>
      <c r="N359" s="1"/>
      <c r="O359" s="2"/>
      <c r="S359" s="2"/>
      <c r="T359" s="1"/>
      <c r="Z359" s="1"/>
      <c r="AA359" s="1"/>
      <c r="AB359" s="1"/>
      <c r="AC359" s="1"/>
      <c r="AD359" s="1"/>
    </row>
    <row r="360" spans="7:30">
      <c r="G360" s="1"/>
      <c r="H360" s="1"/>
      <c r="I360" s="1"/>
      <c r="J360" s="1"/>
      <c r="L360" s="1"/>
      <c r="M360" s="1"/>
      <c r="N360" s="1"/>
      <c r="O360" s="2"/>
      <c r="S360" s="2"/>
      <c r="T360" s="1"/>
      <c r="Z360" s="1"/>
      <c r="AA360" s="1"/>
      <c r="AB360" s="1"/>
      <c r="AC360" s="1"/>
      <c r="AD360" s="1"/>
    </row>
    <row r="361" spans="7:30">
      <c r="G361" s="1"/>
      <c r="H361" s="1"/>
      <c r="I361" s="1"/>
      <c r="J361" s="1"/>
      <c r="L361" s="1"/>
      <c r="M361" s="1"/>
      <c r="N361" s="1"/>
      <c r="O361" s="2"/>
      <c r="S361" s="2"/>
      <c r="T361" s="1"/>
      <c r="Z361" s="1"/>
      <c r="AA361" s="1"/>
      <c r="AB361" s="1"/>
      <c r="AC361" s="1"/>
      <c r="AD361" s="1"/>
    </row>
    <row r="362" spans="7:30">
      <c r="G362" s="1"/>
      <c r="H362" s="1"/>
      <c r="I362" s="1"/>
      <c r="J362" s="1"/>
      <c r="L362" s="1"/>
      <c r="M362" s="1"/>
      <c r="N362" s="1"/>
      <c r="O362" s="2"/>
      <c r="S362" s="2"/>
      <c r="T362" s="1"/>
      <c r="Z362" s="1"/>
      <c r="AA362" s="1"/>
      <c r="AB362" s="1"/>
      <c r="AC362" s="1"/>
      <c r="AD362" s="1"/>
    </row>
    <row r="363" spans="7:30">
      <c r="G363" s="1"/>
      <c r="H363" s="1"/>
      <c r="I363" s="1"/>
      <c r="J363" s="1"/>
      <c r="L363" s="1"/>
      <c r="M363" s="1"/>
      <c r="N363" s="1"/>
      <c r="O363" s="2"/>
      <c r="S363" s="2"/>
      <c r="T363" s="1"/>
      <c r="Z363" s="1"/>
      <c r="AA363" s="1"/>
      <c r="AB363" s="1"/>
      <c r="AC363" s="1"/>
      <c r="AD363" s="1"/>
    </row>
    <row r="364" spans="7:30">
      <c r="G364" s="1"/>
      <c r="H364" s="1"/>
      <c r="I364" s="1"/>
      <c r="J364" s="1"/>
      <c r="L364" s="1"/>
      <c r="M364" s="1"/>
      <c r="N364" s="1"/>
      <c r="O364" s="2"/>
      <c r="S364" s="2"/>
      <c r="T364" s="1"/>
      <c r="Z364" s="1"/>
      <c r="AA364" s="1"/>
      <c r="AB364" s="1"/>
      <c r="AC364" s="1"/>
      <c r="AD364" s="1"/>
    </row>
    <row r="365" spans="7:30">
      <c r="G365" s="1"/>
      <c r="H365" s="1"/>
      <c r="I365" s="1"/>
      <c r="J365" s="1"/>
      <c r="L365" s="1"/>
      <c r="M365" s="1"/>
      <c r="N365" s="1"/>
      <c r="O365" s="2"/>
      <c r="S365" s="2"/>
      <c r="T365" s="1"/>
      <c r="Z365" s="1"/>
      <c r="AA365" s="1"/>
      <c r="AB365" s="1"/>
      <c r="AC365" s="1"/>
      <c r="AD365" s="1"/>
    </row>
    <row r="366" spans="7:30">
      <c r="G366" s="1"/>
      <c r="H366" s="1"/>
      <c r="I366" s="1"/>
      <c r="J366" s="1"/>
      <c r="L366" s="1"/>
      <c r="M366" s="1"/>
      <c r="N366" s="1"/>
      <c r="O366" s="2"/>
      <c r="S366" s="2"/>
      <c r="T366" s="1"/>
      <c r="Z366" s="1"/>
      <c r="AA366" s="1"/>
      <c r="AB366" s="1"/>
      <c r="AC366" s="1"/>
      <c r="AD366" s="1"/>
    </row>
    <row r="367" spans="7:30">
      <c r="G367" s="1"/>
      <c r="H367" s="1"/>
      <c r="I367" s="1"/>
      <c r="J367" s="1"/>
      <c r="L367" s="1"/>
      <c r="M367" s="1"/>
      <c r="N367" s="1"/>
      <c r="O367" s="2"/>
      <c r="S367" s="2"/>
      <c r="T367" s="1"/>
      <c r="Z367" s="1"/>
      <c r="AA367" s="1"/>
      <c r="AB367" s="1"/>
      <c r="AC367" s="1"/>
      <c r="AD367" s="1"/>
    </row>
    <row r="368" spans="7:30">
      <c r="G368" s="1"/>
      <c r="H368" s="1"/>
      <c r="I368" s="1"/>
      <c r="J368" s="1"/>
      <c r="L368" s="1"/>
      <c r="M368" s="1"/>
      <c r="N368" s="1"/>
      <c r="O368" s="2"/>
      <c r="S368" s="2"/>
      <c r="T368" s="1"/>
      <c r="Z368" s="1"/>
      <c r="AA368" s="1"/>
      <c r="AB368" s="1"/>
      <c r="AC368" s="1"/>
      <c r="AD368" s="1"/>
    </row>
    <row r="369" spans="7:30">
      <c r="G369" s="1"/>
      <c r="H369" s="1"/>
      <c r="I369" s="1"/>
      <c r="J369" s="1"/>
      <c r="L369" s="1"/>
      <c r="M369" s="1"/>
      <c r="N369" s="1"/>
      <c r="O369" s="2"/>
      <c r="S369" s="2"/>
      <c r="T369" s="1"/>
      <c r="Z369" s="1"/>
      <c r="AA369" s="1"/>
      <c r="AB369" s="1"/>
      <c r="AC369" s="1"/>
      <c r="AD369" s="1"/>
    </row>
    <row r="370" spans="7:30">
      <c r="G370" s="1"/>
      <c r="H370" s="1"/>
      <c r="I370" s="1"/>
      <c r="J370" s="1"/>
      <c r="L370" s="1"/>
      <c r="M370" s="1"/>
      <c r="N370" s="1"/>
      <c r="O370" s="2"/>
      <c r="S370" s="2"/>
      <c r="T370" s="1"/>
      <c r="Z370" s="1"/>
      <c r="AA370" s="1"/>
      <c r="AB370" s="1"/>
      <c r="AC370" s="1"/>
      <c r="AD370" s="1"/>
    </row>
    <row r="371" spans="7:30">
      <c r="G371" s="1"/>
      <c r="H371" s="1"/>
      <c r="I371" s="1"/>
      <c r="J371" s="1"/>
      <c r="L371" s="1"/>
      <c r="M371" s="1"/>
      <c r="N371" s="1"/>
      <c r="O371" s="2"/>
      <c r="S371" s="2"/>
      <c r="T371" s="1"/>
      <c r="Z371" s="1"/>
      <c r="AA371" s="1"/>
      <c r="AB371" s="1"/>
      <c r="AC371" s="1"/>
      <c r="AD371" s="1"/>
    </row>
    <row r="372" spans="7:30">
      <c r="G372" s="1"/>
      <c r="H372" s="1"/>
      <c r="I372" s="1"/>
      <c r="J372" s="1"/>
      <c r="L372" s="1"/>
      <c r="M372" s="1"/>
      <c r="N372" s="1"/>
      <c r="O372" s="2"/>
      <c r="S372" s="2"/>
      <c r="T372" s="1"/>
      <c r="Z372" s="1"/>
      <c r="AA372" s="1"/>
      <c r="AB372" s="1"/>
      <c r="AC372" s="1"/>
      <c r="AD372" s="1"/>
    </row>
    <row r="373" spans="7:30">
      <c r="G373" s="1"/>
      <c r="H373" s="1"/>
      <c r="I373" s="1"/>
      <c r="J373" s="1"/>
      <c r="L373" s="1"/>
      <c r="M373" s="1"/>
      <c r="N373" s="1"/>
      <c r="O373" s="2"/>
      <c r="S373" s="2"/>
      <c r="T373" s="1"/>
      <c r="Z373" s="1"/>
      <c r="AA373" s="1"/>
      <c r="AB373" s="1"/>
      <c r="AC373" s="1"/>
      <c r="AD373" s="1"/>
    </row>
    <row r="374" spans="7:30">
      <c r="G374" s="1"/>
      <c r="H374" s="1"/>
      <c r="I374" s="1"/>
      <c r="J374" s="1"/>
      <c r="L374" s="1"/>
      <c r="M374" s="1"/>
      <c r="N374" s="1"/>
      <c r="O374" s="2"/>
      <c r="S374" s="2"/>
      <c r="T374" s="1"/>
      <c r="Z374" s="1"/>
      <c r="AA374" s="1"/>
      <c r="AB374" s="1"/>
      <c r="AC374" s="1"/>
      <c r="AD374" s="1"/>
    </row>
    <row r="375" spans="7:30">
      <c r="G375" s="1"/>
      <c r="H375" s="1"/>
      <c r="I375" s="1"/>
      <c r="J375" s="1"/>
      <c r="L375" s="1"/>
      <c r="M375" s="1"/>
      <c r="N375" s="1"/>
      <c r="O375" s="2"/>
      <c r="S375" s="2"/>
      <c r="T375" s="1"/>
      <c r="Z375" s="1"/>
      <c r="AA375" s="1"/>
      <c r="AB375" s="1"/>
      <c r="AC375" s="1"/>
      <c r="AD375" s="1"/>
    </row>
    <row r="376" spans="7:30">
      <c r="G376" s="1"/>
      <c r="H376" s="1"/>
      <c r="I376" s="1"/>
      <c r="J376" s="1"/>
      <c r="L376" s="1"/>
      <c r="M376" s="1"/>
      <c r="N376" s="1"/>
      <c r="O376" s="2"/>
      <c r="S376" s="2"/>
      <c r="T376" s="1"/>
      <c r="Z376" s="1"/>
      <c r="AA376" s="1"/>
      <c r="AB376" s="1"/>
      <c r="AC376" s="1"/>
      <c r="AD376" s="1"/>
    </row>
    <row r="377" spans="7:30">
      <c r="G377" s="1"/>
      <c r="H377" s="1"/>
      <c r="I377" s="1"/>
      <c r="J377" s="1"/>
      <c r="L377" s="1"/>
      <c r="M377" s="1"/>
      <c r="N377" s="1"/>
      <c r="O377" s="2"/>
      <c r="S377" s="2"/>
      <c r="T377" s="1"/>
      <c r="Z377" s="1"/>
      <c r="AA377" s="1"/>
      <c r="AB377" s="1"/>
      <c r="AC377" s="1"/>
      <c r="AD377" s="1"/>
    </row>
    <row r="378" spans="7:30">
      <c r="G378" s="1"/>
      <c r="H378" s="1"/>
      <c r="I378" s="1"/>
      <c r="J378" s="1"/>
      <c r="L378" s="1"/>
      <c r="M378" s="1"/>
      <c r="N378" s="1"/>
      <c r="O378" s="2"/>
      <c r="S378" s="2"/>
      <c r="T378" s="1"/>
      <c r="Z378" s="1"/>
      <c r="AA378" s="1"/>
      <c r="AB378" s="1"/>
      <c r="AC378" s="1"/>
      <c r="AD378" s="1"/>
    </row>
    <row r="379" spans="7:30">
      <c r="G379" s="1"/>
      <c r="H379" s="1"/>
      <c r="I379" s="1"/>
      <c r="J379" s="1"/>
      <c r="L379" s="1"/>
      <c r="M379" s="1"/>
      <c r="N379" s="1"/>
      <c r="O379" s="2"/>
      <c r="S379" s="2"/>
      <c r="T379" s="1"/>
      <c r="Z379" s="1"/>
      <c r="AA379" s="1"/>
      <c r="AB379" s="1"/>
      <c r="AC379" s="1"/>
      <c r="AD379" s="1"/>
    </row>
    <row r="380" spans="7:30">
      <c r="G380" s="1"/>
      <c r="H380" s="1"/>
      <c r="I380" s="1"/>
      <c r="J380" s="1"/>
      <c r="L380" s="1"/>
      <c r="M380" s="1"/>
      <c r="N380" s="1"/>
      <c r="O380" s="2"/>
      <c r="S380" s="2"/>
      <c r="T380" s="1"/>
      <c r="Z380" s="1"/>
      <c r="AA380" s="1"/>
      <c r="AB380" s="1"/>
      <c r="AC380" s="1"/>
      <c r="AD380" s="1"/>
    </row>
    <row r="381" spans="7:30">
      <c r="G381" s="1"/>
      <c r="H381" s="1"/>
      <c r="I381" s="1"/>
      <c r="J381" s="1"/>
      <c r="L381" s="1"/>
      <c r="M381" s="1"/>
      <c r="N381" s="1"/>
      <c r="O381" s="2"/>
      <c r="S381" s="2"/>
      <c r="T381" s="1"/>
      <c r="Z381" s="1"/>
      <c r="AA381" s="1"/>
      <c r="AB381" s="1"/>
      <c r="AC381" s="1"/>
      <c r="AD381" s="1"/>
    </row>
    <row r="382" spans="7:30">
      <c r="G382" s="1"/>
      <c r="H382" s="1"/>
      <c r="I382" s="1"/>
      <c r="J382" s="1"/>
      <c r="L382" s="1"/>
      <c r="M382" s="1"/>
      <c r="N382" s="1"/>
      <c r="O382" s="2"/>
      <c r="S382" s="2"/>
      <c r="T382" s="1"/>
      <c r="Z382" s="1"/>
      <c r="AA382" s="1"/>
      <c r="AB382" s="1"/>
      <c r="AC382" s="1"/>
      <c r="AD382" s="1"/>
    </row>
    <row r="383" spans="7:30">
      <c r="G383" s="1"/>
      <c r="H383" s="1"/>
      <c r="I383" s="1"/>
      <c r="J383" s="1"/>
      <c r="L383" s="1"/>
      <c r="M383" s="1"/>
      <c r="N383" s="1"/>
      <c r="O383" s="2"/>
      <c r="S383" s="2"/>
      <c r="T383" s="1"/>
      <c r="Z383" s="1"/>
      <c r="AA383" s="1"/>
      <c r="AB383" s="1"/>
      <c r="AC383" s="1"/>
      <c r="AD383" s="1"/>
    </row>
    <row r="384" spans="7:30">
      <c r="G384" s="1"/>
      <c r="H384" s="1"/>
      <c r="I384" s="1"/>
      <c r="J384" s="1"/>
      <c r="L384" s="1"/>
      <c r="M384" s="1"/>
      <c r="N384" s="1"/>
      <c r="O384" s="2"/>
      <c r="S384" s="2"/>
      <c r="T384" s="1"/>
      <c r="Z384" s="1"/>
      <c r="AA384" s="1"/>
      <c r="AB384" s="1"/>
      <c r="AC384" s="1"/>
      <c r="AD384" s="1"/>
    </row>
    <row r="385" spans="7:30">
      <c r="G385" s="1"/>
      <c r="H385" s="1"/>
      <c r="I385" s="1"/>
      <c r="J385" s="1"/>
      <c r="L385" s="1"/>
      <c r="M385" s="1"/>
      <c r="N385" s="1"/>
      <c r="O385" s="2"/>
      <c r="S385" s="2"/>
      <c r="T385" s="1"/>
      <c r="Z385" s="1"/>
      <c r="AA385" s="1"/>
      <c r="AB385" s="1"/>
      <c r="AC385" s="1"/>
      <c r="AD385" s="1"/>
    </row>
    <row r="386" spans="7:30">
      <c r="G386" s="1"/>
      <c r="H386" s="1"/>
      <c r="I386" s="1"/>
      <c r="J386" s="1"/>
      <c r="L386" s="1"/>
      <c r="M386" s="1"/>
      <c r="N386" s="1"/>
      <c r="O386" s="2"/>
      <c r="S386" s="2"/>
      <c r="T386" s="1"/>
      <c r="Z386" s="1"/>
      <c r="AA386" s="1"/>
      <c r="AB386" s="1"/>
      <c r="AC386" s="1"/>
      <c r="AD386" s="1"/>
    </row>
    <row r="387" spans="7:30">
      <c r="G387" s="1"/>
      <c r="H387" s="1"/>
      <c r="I387" s="1"/>
      <c r="J387" s="1"/>
      <c r="L387" s="1"/>
      <c r="M387" s="1"/>
      <c r="N387" s="1"/>
      <c r="O387" s="2"/>
      <c r="S387" s="2"/>
      <c r="T387" s="1"/>
      <c r="Z387" s="1"/>
      <c r="AA387" s="1"/>
      <c r="AB387" s="1"/>
      <c r="AC387" s="1"/>
      <c r="AD387" s="1"/>
    </row>
    <row r="388" spans="7:30">
      <c r="G388" s="1"/>
      <c r="H388" s="1"/>
      <c r="I388" s="1"/>
      <c r="J388" s="1"/>
      <c r="L388" s="1"/>
      <c r="M388" s="1"/>
      <c r="N388" s="1"/>
      <c r="O388" s="2"/>
      <c r="S388" s="2"/>
      <c r="T388" s="1"/>
      <c r="Z388" s="1"/>
      <c r="AA388" s="1"/>
      <c r="AB388" s="1"/>
      <c r="AC388" s="1"/>
      <c r="AD388" s="1"/>
    </row>
    <row r="389" spans="7:30">
      <c r="G389" s="1"/>
      <c r="H389" s="1"/>
      <c r="I389" s="1"/>
      <c r="J389" s="1"/>
      <c r="L389" s="1"/>
      <c r="M389" s="1"/>
      <c r="N389" s="1"/>
      <c r="O389" s="2"/>
      <c r="S389" s="2"/>
      <c r="T389" s="1"/>
      <c r="Z389" s="1"/>
      <c r="AA389" s="1"/>
      <c r="AB389" s="1"/>
      <c r="AC389" s="1"/>
      <c r="AD389" s="1"/>
    </row>
    <row r="390" spans="7:30">
      <c r="G390" s="1"/>
      <c r="H390" s="1"/>
      <c r="I390" s="1"/>
      <c r="J390" s="1"/>
      <c r="L390" s="1"/>
      <c r="M390" s="1"/>
      <c r="N390" s="1"/>
      <c r="O390" s="2"/>
      <c r="S390" s="2"/>
      <c r="T390" s="1"/>
      <c r="Z390" s="1"/>
      <c r="AA390" s="1"/>
      <c r="AB390" s="1"/>
      <c r="AC390" s="1"/>
      <c r="AD390" s="1"/>
    </row>
    <row r="391" spans="7:30">
      <c r="G391" s="1"/>
      <c r="H391" s="1"/>
      <c r="I391" s="1"/>
      <c r="J391" s="1"/>
      <c r="L391" s="1"/>
      <c r="M391" s="1"/>
      <c r="N391" s="1"/>
      <c r="O391" s="2"/>
      <c r="S391" s="2"/>
      <c r="T391" s="1"/>
      <c r="Z391" s="1"/>
      <c r="AA391" s="1"/>
      <c r="AB391" s="1"/>
      <c r="AC391" s="1"/>
      <c r="AD391" s="1"/>
    </row>
    <row r="392" spans="7:30">
      <c r="G392" s="1"/>
      <c r="H392" s="1"/>
      <c r="I392" s="1"/>
      <c r="J392" s="1"/>
      <c r="L392" s="1"/>
      <c r="M392" s="1"/>
      <c r="N392" s="1"/>
      <c r="O392" s="2"/>
      <c r="S392" s="2"/>
      <c r="T392" s="1"/>
      <c r="Z392" s="1"/>
      <c r="AA392" s="1"/>
      <c r="AB392" s="1"/>
      <c r="AC392" s="1"/>
      <c r="AD392" s="1"/>
    </row>
    <row r="393" spans="7:30">
      <c r="G393" s="1"/>
      <c r="H393" s="1"/>
      <c r="I393" s="1"/>
      <c r="J393" s="1"/>
      <c r="L393" s="1"/>
      <c r="M393" s="1"/>
      <c r="N393" s="1"/>
      <c r="O393" s="2"/>
      <c r="S393" s="2"/>
      <c r="T393" s="1"/>
      <c r="Z393" s="1"/>
      <c r="AA393" s="1"/>
      <c r="AB393" s="1"/>
      <c r="AC393" s="1"/>
      <c r="AD393" s="1"/>
    </row>
    <row r="394" spans="7:30">
      <c r="G394" s="1"/>
      <c r="H394" s="1"/>
      <c r="I394" s="1"/>
      <c r="J394" s="1"/>
      <c r="L394" s="1"/>
      <c r="M394" s="1"/>
      <c r="N394" s="1"/>
      <c r="O394" s="2"/>
      <c r="S394" s="2"/>
      <c r="T394" s="1"/>
      <c r="Z394" s="1"/>
      <c r="AA394" s="1"/>
      <c r="AB394" s="1"/>
      <c r="AC394" s="1"/>
      <c r="AD394" s="1"/>
    </row>
    <row r="395" spans="7:30">
      <c r="G395" s="1"/>
      <c r="H395" s="1"/>
      <c r="I395" s="1"/>
      <c r="J395" s="1"/>
      <c r="L395" s="1"/>
      <c r="M395" s="1"/>
      <c r="N395" s="1"/>
      <c r="O395" s="2"/>
      <c r="S395" s="2"/>
      <c r="T395" s="1"/>
      <c r="Z395" s="1"/>
      <c r="AA395" s="1"/>
      <c r="AB395" s="1"/>
      <c r="AC395" s="1"/>
      <c r="AD395" s="1"/>
    </row>
    <row r="396" spans="7:30">
      <c r="G396" s="1"/>
      <c r="H396" s="1"/>
      <c r="I396" s="1"/>
      <c r="J396" s="1"/>
      <c r="L396" s="1"/>
      <c r="M396" s="1"/>
      <c r="N396" s="1"/>
      <c r="O396" s="2"/>
      <c r="S396" s="2"/>
      <c r="T396" s="1"/>
      <c r="Z396" s="1"/>
      <c r="AA396" s="1"/>
      <c r="AB396" s="1"/>
      <c r="AC396" s="1"/>
      <c r="AD396" s="1"/>
    </row>
    <row r="397" spans="7:30">
      <c r="G397" s="1"/>
      <c r="H397" s="1"/>
      <c r="I397" s="1"/>
      <c r="J397" s="1"/>
      <c r="L397" s="1"/>
      <c r="M397" s="1"/>
      <c r="N397" s="1"/>
      <c r="O397" s="2"/>
      <c r="S397" s="2"/>
      <c r="T397" s="1"/>
      <c r="Z397" s="1"/>
      <c r="AA397" s="1"/>
      <c r="AB397" s="1"/>
      <c r="AC397" s="1"/>
      <c r="AD397" s="1"/>
    </row>
    <row r="398" spans="7:30">
      <c r="G398" s="1"/>
      <c r="H398" s="1"/>
      <c r="I398" s="1"/>
      <c r="J398" s="1"/>
      <c r="L398" s="1"/>
      <c r="M398" s="1"/>
      <c r="N398" s="1"/>
      <c r="O398" s="2"/>
      <c r="S398" s="2"/>
      <c r="T398" s="1"/>
      <c r="Z398" s="1"/>
      <c r="AA398" s="1"/>
      <c r="AB398" s="1"/>
      <c r="AC398" s="1"/>
      <c r="AD398" s="1"/>
    </row>
    <row r="399" spans="7:30">
      <c r="G399" s="1"/>
      <c r="H399" s="1"/>
      <c r="I399" s="1"/>
      <c r="J399" s="1"/>
      <c r="L399" s="1"/>
      <c r="M399" s="1"/>
      <c r="N399" s="1"/>
      <c r="O399" s="2"/>
      <c r="S399" s="2"/>
      <c r="T399" s="1"/>
      <c r="Z399" s="1"/>
      <c r="AA399" s="1"/>
      <c r="AB399" s="1"/>
      <c r="AC399" s="1"/>
      <c r="AD399" s="1"/>
    </row>
    <row r="400" spans="7:30">
      <c r="G400" s="1"/>
      <c r="H400" s="1"/>
      <c r="I400" s="1"/>
      <c r="J400" s="1"/>
      <c r="L400" s="1"/>
      <c r="M400" s="1"/>
      <c r="N400" s="1"/>
      <c r="O400" s="2"/>
      <c r="S400" s="2"/>
      <c r="T400" s="1"/>
      <c r="Z400" s="1"/>
      <c r="AA400" s="1"/>
      <c r="AB400" s="1"/>
      <c r="AC400" s="1"/>
      <c r="AD400" s="1"/>
    </row>
    <row r="401" spans="7:30">
      <c r="G401" s="1"/>
      <c r="H401" s="1"/>
      <c r="I401" s="1"/>
      <c r="J401" s="1"/>
      <c r="L401" s="1"/>
      <c r="M401" s="1"/>
      <c r="N401" s="1"/>
      <c r="O401" s="2"/>
      <c r="S401" s="2"/>
      <c r="T401" s="1"/>
      <c r="Z401" s="1"/>
      <c r="AA401" s="1"/>
      <c r="AB401" s="1"/>
      <c r="AC401" s="1"/>
      <c r="AD401" s="1"/>
    </row>
    <row r="402" spans="7:30">
      <c r="G402" s="1"/>
      <c r="H402" s="1"/>
      <c r="I402" s="1"/>
      <c r="J402" s="1"/>
      <c r="L402" s="1"/>
      <c r="M402" s="1"/>
      <c r="N402" s="1"/>
      <c r="O402" s="2"/>
      <c r="S402" s="2"/>
      <c r="T402" s="1"/>
      <c r="Z402" s="1"/>
      <c r="AA402" s="1"/>
      <c r="AB402" s="1"/>
      <c r="AC402" s="1"/>
      <c r="AD402" s="1"/>
    </row>
    <row r="403" spans="7:30">
      <c r="G403" s="1"/>
      <c r="H403" s="1"/>
      <c r="I403" s="1"/>
      <c r="J403" s="1"/>
      <c r="L403" s="1"/>
      <c r="M403" s="1"/>
      <c r="N403" s="1"/>
      <c r="O403" s="2"/>
      <c r="S403" s="2"/>
      <c r="T403" s="1"/>
      <c r="Z403" s="1"/>
      <c r="AA403" s="1"/>
      <c r="AB403" s="1"/>
      <c r="AC403" s="1"/>
      <c r="AD403" s="1"/>
    </row>
    <row r="404" spans="7:30">
      <c r="G404" s="1"/>
      <c r="H404" s="1"/>
      <c r="I404" s="1"/>
      <c r="J404" s="1"/>
      <c r="L404" s="1"/>
      <c r="M404" s="1"/>
      <c r="N404" s="1"/>
      <c r="O404" s="2"/>
      <c r="S404" s="2"/>
      <c r="T404" s="1"/>
      <c r="Z404" s="1"/>
      <c r="AA404" s="1"/>
      <c r="AB404" s="1"/>
      <c r="AC404" s="1"/>
      <c r="AD404" s="1"/>
    </row>
    <row r="405" spans="7:30">
      <c r="G405" s="1"/>
      <c r="H405" s="1"/>
      <c r="I405" s="1"/>
      <c r="J405" s="1"/>
      <c r="L405" s="1"/>
      <c r="M405" s="1"/>
      <c r="N405" s="1"/>
      <c r="O405" s="2"/>
      <c r="S405" s="2"/>
      <c r="T405" s="1"/>
      <c r="Z405" s="1"/>
      <c r="AA405" s="1"/>
      <c r="AB405" s="1"/>
      <c r="AC405" s="1"/>
      <c r="AD405" s="1"/>
    </row>
    <row r="406" spans="7:30">
      <c r="G406" s="1"/>
      <c r="H406" s="1"/>
      <c r="I406" s="1"/>
      <c r="J406" s="1"/>
      <c r="L406" s="1"/>
      <c r="M406" s="1"/>
      <c r="N406" s="1"/>
      <c r="O406" s="2"/>
      <c r="S406" s="2"/>
      <c r="T406" s="1"/>
      <c r="Z406" s="1"/>
      <c r="AA406" s="1"/>
      <c r="AB406" s="1"/>
      <c r="AC406" s="1"/>
      <c r="AD406" s="1"/>
    </row>
    <row r="407" spans="7:30">
      <c r="G407" s="1"/>
      <c r="H407" s="1"/>
      <c r="I407" s="1"/>
      <c r="J407" s="1"/>
      <c r="L407" s="1"/>
      <c r="M407" s="1"/>
      <c r="N407" s="1"/>
      <c r="O407" s="2"/>
      <c r="S407" s="2"/>
      <c r="T407" s="1"/>
      <c r="Z407" s="1"/>
      <c r="AA407" s="1"/>
      <c r="AB407" s="1"/>
      <c r="AC407" s="1"/>
      <c r="AD407" s="1"/>
    </row>
    <row r="408" spans="7:30">
      <c r="G408" s="1"/>
      <c r="H408" s="1"/>
      <c r="I408" s="1"/>
      <c r="J408" s="1"/>
      <c r="L408" s="1"/>
      <c r="M408" s="1"/>
      <c r="N408" s="1"/>
      <c r="O408" s="2"/>
      <c r="S408" s="2"/>
      <c r="T408" s="1"/>
      <c r="Z408" s="1"/>
      <c r="AA408" s="1"/>
      <c r="AB408" s="1"/>
      <c r="AC408" s="1"/>
      <c r="AD408" s="1"/>
    </row>
    <row r="409" spans="7:30">
      <c r="G409" s="1"/>
      <c r="H409" s="1"/>
      <c r="I409" s="1"/>
      <c r="J409" s="1"/>
      <c r="L409" s="1"/>
      <c r="M409" s="1"/>
      <c r="N409" s="1"/>
      <c r="O409" s="2"/>
      <c r="S409" s="2"/>
      <c r="T409" s="1"/>
      <c r="Z409" s="1"/>
      <c r="AA409" s="1"/>
      <c r="AB409" s="1"/>
      <c r="AC409" s="1"/>
      <c r="AD409" s="1"/>
    </row>
    <row r="410" spans="7:30">
      <c r="G410" s="1"/>
      <c r="H410" s="1"/>
      <c r="I410" s="1"/>
      <c r="J410" s="1"/>
      <c r="L410" s="1"/>
      <c r="M410" s="1"/>
      <c r="N410" s="1"/>
      <c r="O410" s="2"/>
      <c r="S410" s="2"/>
      <c r="T410" s="1"/>
      <c r="Z410" s="1"/>
      <c r="AA410" s="1"/>
      <c r="AB410" s="1"/>
      <c r="AC410" s="1"/>
      <c r="AD410" s="1"/>
    </row>
    <row r="411" spans="7:30">
      <c r="G411" s="1"/>
      <c r="H411" s="1"/>
      <c r="I411" s="1"/>
      <c r="J411" s="1"/>
      <c r="L411" s="1"/>
      <c r="M411" s="1"/>
      <c r="N411" s="1"/>
      <c r="O411" s="2"/>
      <c r="S411" s="2"/>
      <c r="T411" s="1"/>
      <c r="Z411" s="1"/>
      <c r="AA411" s="1"/>
      <c r="AB411" s="1"/>
      <c r="AC411" s="1"/>
      <c r="AD411" s="1"/>
    </row>
    <row r="412" spans="7:30">
      <c r="G412" s="1"/>
      <c r="H412" s="1"/>
      <c r="I412" s="1"/>
      <c r="J412" s="1"/>
      <c r="L412" s="1"/>
      <c r="M412" s="1"/>
      <c r="N412" s="1"/>
      <c r="O412" s="2"/>
      <c r="S412" s="2"/>
      <c r="T412" s="1"/>
      <c r="Z412" s="1"/>
      <c r="AA412" s="1"/>
      <c r="AB412" s="1"/>
      <c r="AC412" s="1"/>
      <c r="AD412" s="1"/>
    </row>
    <row r="413" spans="7:30">
      <c r="G413" s="1"/>
      <c r="H413" s="1"/>
      <c r="I413" s="1"/>
      <c r="J413" s="1"/>
      <c r="L413" s="1"/>
      <c r="M413" s="1"/>
      <c r="N413" s="1"/>
      <c r="O413" s="2"/>
      <c r="S413" s="2"/>
      <c r="T413" s="1"/>
      <c r="Z413" s="1"/>
      <c r="AA413" s="1"/>
      <c r="AB413" s="1"/>
      <c r="AC413" s="1"/>
      <c r="AD413" s="1"/>
    </row>
    <row r="414" spans="7:30">
      <c r="G414" s="1"/>
      <c r="H414" s="1"/>
      <c r="I414" s="1"/>
      <c r="J414" s="1"/>
      <c r="L414" s="1"/>
      <c r="M414" s="1"/>
      <c r="N414" s="1"/>
      <c r="O414" s="2"/>
      <c r="S414" s="2"/>
      <c r="T414" s="1"/>
      <c r="Z414" s="1"/>
      <c r="AA414" s="1"/>
      <c r="AB414" s="1"/>
      <c r="AC414" s="1"/>
      <c r="AD414" s="1"/>
    </row>
    <row r="415" spans="7:30">
      <c r="G415" s="1"/>
      <c r="H415" s="1"/>
      <c r="I415" s="1"/>
      <c r="J415" s="1"/>
      <c r="L415" s="1"/>
      <c r="M415" s="1"/>
      <c r="N415" s="1"/>
      <c r="O415" s="2"/>
      <c r="S415" s="2"/>
      <c r="T415" s="1"/>
      <c r="Z415" s="1"/>
      <c r="AA415" s="1"/>
      <c r="AB415" s="1"/>
      <c r="AC415" s="1"/>
      <c r="AD415" s="1"/>
    </row>
    <row r="416" spans="7:30">
      <c r="G416" s="1"/>
      <c r="H416" s="1"/>
      <c r="I416" s="1"/>
      <c r="J416" s="1"/>
      <c r="L416" s="1"/>
      <c r="M416" s="1"/>
      <c r="N416" s="1"/>
      <c r="O416" s="2"/>
      <c r="S416" s="2"/>
      <c r="T416" s="1"/>
      <c r="Z416" s="1"/>
      <c r="AA416" s="1"/>
      <c r="AB416" s="1"/>
      <c r="AC416" s="1"/>
      <c r="AD416" s="1"/>
    </row>
    <row r="417" spans="7:30">
      <c r="G417" s="1"/>
      <c r="H417" s="1"/>
      <c r="I417" s="1"/>
      <c r="J417" s="1"/>
      <c r="L417" s="1"/>
      <c r="M417" s="1"/>
      <c r="N417" s="1"/>
      <c r="O417" s="2"/>
      <c r="S417" s="2"/>
      <c r="T417" s="1"/>
      <c r="Z417" s="1"/>
      <c r="AA417" s="1"/>
      <c r="AB417" s="1"/>
      <c r="AC417" s="1"/>
      <c r="AD417" s="1"/>
    </row>
    <row r="418" spans="7:30">
      <c r="G418" s="1"/>
      <c r="H418" s="1"/>
      <c r="I418" s="1"/>
      <c r="J418" s="1"/>
      <c r="L418" s="1"/>
      <c r="M418" s="1"/>
      <c r="N418" s="1"/>
      <c r="O418" s="2"/>
      <c r="S418" s="2"/>
      <c r="T418" s="1"/>
      <c r="Z418" s="1"/>
      <c r="AA418" s="1"/>
      <c r="AB418" s="1"/>
      <c r="AC418" s="1"/>
      <c r="AD418" s="1"/>
    </row>
    <row r="419" spans="7:30">
      <c r="G419" s="1"/>
      <c r="H419" s="1"/>
      <c r="I419" s="1"/>
      <c r="J419" s="1"/>
      <c r="L419" s="1"/>
      <c r="M419" s="1"/>
      <c r="N419" s="1"/>
      <c r="O419" s="2"/>
      <c r="S419" s="2"/>
      <c r="T419" s="1"/>
      <c r="Z419" s="1"/>
      <c r="AA419" s="1"/>
      <c r="AB419" s="1"/>
      <c r="AC419" s="1"/>
      <c r="AD419" s="1"/>
    </row>
    <row r="420" spans="7:30">
      <c r="G420" s="1"/>
      <c r="H420" s="1"/>
      <c r="I420" s="1"/>
      <c r="J420" s="1"/>
      <c r="L420" s="1"/>
      <c r="M420" s="1"/>
      <c r="N420" s="1"/>
      <c r="O420" s="2"/>
      <c r="S420" s="2"/>
      <c r="T420" s="1"/>
      <c r="Z420" s="1"/>
      <c r="AA420" s="1"/>
      <c r="AB420" s="1"/>
      <c r="AC420" s="1"/>
      <c r="AD420" s="1"/>
    </row>
    <row r="421" spans="7:30">
      <c r="G421" s="1"/>
      <c r="H421" s="1"/>
      <c r="I421" s="1"/>
      <c r="J421" s="1"/>
      <c r="L421" s="1"/>
      <c r="M421" s="1"/>
      <c r="N421" s="1"/>
      <c r="O421" s="2"/>
      <c r="S421" s="2"/>
      <c r="T421" s="1"/>
      <c r="Z421" s="1"/>
      <c r="AA421" s="1"/>
      <c r="AB421" s="1"/>
      <c r="AC421" s="1"/>
      <c r="AD421" s="1"/>
    </row>
    <row r="422" spans="7:30">
      <c r="G422" s="1"/>
      <c r="H422" s="1"/>
      <c r="I422" s="1"/>
      <c r="J422" s="1"/>
      <c r="L422" s="1"/>
      <c r="M422" s="1"/>
      <c r="N422" s="1"/>
      <c r="O422" s="2"/>
      <c r="S422" s="2"/>
      <c r="T422" s="1"/>
      <c r="Z422" s="1"/>
      <c r="AA422" s="1"/>
      <c r="AB422" s="1"/>
      <c r="AC422" s="1"/>
      <c r="AD422" s="1"/>
    </row>
    <row r="423" spans="7:30">
      <c r="G423" s="1"/>
      <c r="H423" s="1"/>
      <c r="I423" s="1"/>
      <c r="J423" s="1"/>
      <c r="L423" s="1"/>
      <c r="M423" s="1"/>
      <c r="N423" s="1"/>
      <c r="O423" s="2"/>
      <c r="S423" s="2"/>
      <c r="T423" s="1"/>
      <c r="Z423" s="1"/>
      <c r="AA423" s="1"/>
      <c r="AB423" s="1"/>
      <c r="AC423" s="1"/>
      <c r="AD423" s="1"/>
    </row>
    <row r="424" spans="7:30">
      <c r="G424" s="1"/>
      <c r="H424" s="1"/>
      <c r="I424" s="1"/>
      <c r="J424" s="1"/>
      <c r="L424" s="1"/>
      <c r="M424" s="1"/>
      <c r="N424" s="1"/>
      <c r="O424" s="2"/>
      <c r="S424" s="2"/>
      <c r="T424" s="1"/>
      <c r="Z424" s="1"/>
      <c r="AA424" s="1"/>
      <c r="AB424" s="1"/>
      <c r="AC424" s="1"/>
      <c r="AD424" s="1"/>
    </row>
    <row r="425" spans="7:30">
      <c r="G425" s="1"/>
      <c r="H425" s="1"/>
      <c r="I425" s="1"/>
      <c r="J425" s="1"/>
      <c r="L425" s="1"/>
      <c r="M425" s="1"/>
      <c r="N425" s="1"/>
      <c r="O425" s="2"/>
      <c r="S425" s="2"/>
      <c r="T425" s="1"/>
      <c r="Z425" s="1"/>
      <c r="AA425" s="1"/>
      <c r="AB425" s="1"/>
      <c r="AC425" s="1"/>
      <c r="AD425" s="1"/>
    </row>
    <row r="426" spans="7:30">
      <c r="G426" s="1"/>
      <c r="H426" s="1"/>
      <c r="I426" s="1"/>
      <c r="J426" s="1"/>
      <c r="L426" s="1"/>
      <c r="M426" s="1"/>
      <c r="N426" s="1"/>
      <c r="O426" s="2"/>
      <c r="S426" s="2"/>
      <c r="T426" s="1"/>
      <c r="Z426" s="1"/>
      <c r="AA426" s="1"/>
      <c r="AB426" s="1"/>
      <c r="AC426" s="1"/>
      <c r="AD426" s="1"/>
    </row>
    <row r="427" spans="7:30">
      <c r="G427" s="1"/>
      <c r="H427" s="1"/>
      <c r="I427" s="1"/>
      <c r="J427" s="1"/>
      <c r="L427" s="1"/>
      <c r="M427" s="1"/>
      <c r="N427" s="1"/>
      <c r="O427" s="2"/>
      <c r="S427" s="2"/>
      <c r="T427" s="1"/>
      <c r="Z427" s="1"/>
      <c r="AA427" s="1"/>
      <c r="AB427" s="1"/>
      <c r="AC427" s="1"/>
      <c r="AD427" s="1"/>
    </row>
    <row r="428" spans="7:30">
      <c r="G428" s="1"/>
      <c r="H428" s="1"/>
      <c r="I428" s="1"/>
      <c r="J428" s="1"/>
      <c r="L428" s="1"/>
      <c r="M428" s="1"/>
      <c r="N428" s="1"/>
      <c r="O428" s="2"/>
      <c r="S428" s="2"/>
      <c r="T428" s="1"/>
      <c r="Z428" s="1"/>
      <c r="AA428" s="1"/>
      <c r="AB428" s="1"/>
      <c r="AC428" s="1"/>
      <c r="AD428" s="1"/>
    </row>
    <row r="429" spans="7:30">
      <c r="G429" s="1"/>
      <c r="H429" s="1"/>
      <c r="I429" s="1"/>
      <c r="J429" s="1"/>
      <c r="L429" s="1"/>
      <c r="M429" s="1"/>
      <c r="N429" s="1"/>
      <c r="O429" s="2"/>
      <c r="S429" s="2"/>
      <c r="T429" s="1"/>
      <c r="Z429" s="1"/>
      <c r="AA429" s="1"/>
      <c r="AB429" s="1"/>
      <c r="AC429" s="1"/>
      <c r="AD429" s="1"/>
    </row>
    <row r="430" spans="7:30">
      <c r="G430" s="1"/>
      <c r="H430" s="1"/>
      <c r="I430" s="1"/>
      <c r="J430" s="1"/>
      <c r="L430" s="1"/>
      <c r="M430" s="1"/>
      <c r="N430" s="1"/>
      <c r="O430" s="2"/>
      <c r="S430" s="2"/>
      <c r="T430" s="1"/>
      <c r="Z430" s="1"/>
      <c r="AA430" s="1"/>
      <c r="AB430" s="1"/>
      <c r="AC430" s="1"/>
      <c r="AD430" s="1"/>
    </row>
    <row r="431" spans="7:30">
      <c r="G431" s="1"/>
      <c r="H431" s="1"/>
      <c r="I431" s="1"/>
      <c r="J431" s="1"/>
      <c r="L431" s="1"/>
      <c r="M431" s="1"/>
      <c r="N431" s="1"/>
      <c r="O431" s="2"/>
      <c r="S431" s="2"/>
      <c r="T431" s="1"/>
      <c r="Z431" s="1"/>
      <c r="AA431" s="1"/>
      <c r="AB431" s="1"/>
      <c r="AC431" s="1"/>
      <c r="AD431" s="1"/>
    </row>
    <row r="432" spans="7:30">
      <c r="G432" s="1"/>
      <c r="H432" s="1"/>
      <c r="I432" s="1"/>
      <c r="J432" s="1"/>
      <c r="L432" s="1"/>
      <c r="M432" s="1"/>
      <c r="N432" s="1"/>
      <c r="O432" s="2"/>
      <c r="S432" s="2"/>
      <c r="T432" s="1"/>
      <c r="Z432" s="1"/>
      <c r="AA432" s="1"/>
      <c r="AB432" s="1"/>
      <c r="AC432" s="1"/>
      <c r="AD432" s="1"/>
    </row>
    <row r="433" spans="7:30">
      <c r="G433" s="1"/>
      <c r="H433" s="1"/>
      <c r="I433" s="1"/>
      <c r="J433" s="1"/>
      <c r="L433" s="1"/>
      <c r="M433" s="1"/>
      <c r="N433" s="1"/>
      <c r="O433" s="2"/>
      <c r="S433" s="2"/>
      <c r="T433" s="1"/>
      <c r="Z433" s="1"/>
      <c r="AA433" s="1"/>
      <c r="AB433" s="1"/>
      <c r="AC433" s="1"/>
      <c r="AD433" s="1"/>
    </row>
    <row r="434" spans="7:30">
      <c r="G434" s="1"/>
      <c r="H434" s="1"/>
      <c r="I434" s="1"/>
      <c r="J434" s="1"/>
      <c r="L434" s="1"/>
      <c r="M434" s="1"/>
      <c r="N434" s="1"/>
      <c r="O434" s="2"/>
      <c r="S434" s="2"/>
      <c r="T434" s="1"/>
      <c r="Z434" s="1"/>
      <c r="AA434" s="1"/>
      <c r="AB434" s="1"/>
      <c r="AC434" s="1"/>
      <c r="AD434" s="1"/>
    </row>
    <row r="435" spans="7:30">
      <c r="G435" s="1"/>
      <c r="H435" s="1"/>
      <c r="I435" s="1"/>
      <c r="J435" s="1"/>
      <c r="L435" s="1"/>
      <c r="M435" s="1"/>
      <c r="N435" s="1"/>
      <c r="O435" s="2"/>
      <c r="S435" s="2"/>
      <c r="T435" s="1"/>
      <c r="Z435" s="1"/>
      <c r="AA435" s="1"/>
      <c r="AB435" s="1"/>
      <c r="AC435" s="1"/>
      <c r="AD435" s="1"/>
    </row>
    <row r="436" spans="7:30">
      <c r="G436" s="1"/>
      <c r="H436" s="1"/>
      <c r="I436" s="1"/>
      <c r="J436" s="1"/>
      <c r="L436" s="1"/>
      <c r="M436" s="1"/>
      <c r="N436" s="1"/>
      <c r="O436" s="2"/>
      <c r="S436" s="2"/>
      <c r="T436" s="1"/>
      <c r="Z436" s="1"/>
      <c r="AA436" s="1"/>
      <c r="AB436" s="1"/>
      <c r="AC436" s="1"/>
      <c r="AD436" s="1"/>
    </row>
    <row r="437" spans="7:30">
      <c r="G437" s="1"/>
      <c r="H437" s="1"/>
      <c r="I437" s="1"/>
      <c r="J437" s="1"/>
      <c r="L437" s="1"/>
      <c r="M437" s="1"/>
      <c r="N437" s="1"/>
      <c r="O437" s="2"/>
      <c r="S437" s="2"/>
      <c r="T437" s="1"/>
      <c r="Z437" s="1"/>
      <c r="AA437" s="1"/>
      <c r="AB437" s="1"/>
      <c r="AC437" s="1"/>
      <c r="AD437" s="1"/>
    </row>
    <row r="438" spans="7:30">
      <c r="G438" s="1"/>
      <c r="H438" s="1"/>
      <c r="I438" s="1"/>
      <c r="J438" s="1"/>
      <c r="L438" s="1"/>
      <c r="M438" s="1"/>
      <c r="N438" s="1"/>
      <c r="O438" s="2"/>
      <c r="S438" s="2"/>
      <c r="T438" s="1"/>
      <c r="Z438" s="1"/>
      <c r="AA438" s="1"/>
      <c r="AB438" s="1"/>
      <c r="AC438" s="1"/>
      <c r="AD438" s="1"/>
    </row>
    <row r="439" spans="7:30">
      <c r="G439" s="1"/>
      <c r="H439" s="1"/>
      <c r="I439" s="1"/>
      <c r="J439" s="1"/>
      <c r="L439" s="1"/>
      <c r="M439" s="1"/>
      <c r="N439" s="1"/>
      <c r="O439" s="2"/>
      <c r="S439" s="2"/>
      <c r="T439" s="1"/>
      <c r="Z439" s="1"/>
      <c r="AA439" s="1"/>
      <c r="AB439" s="1"/>
      <c r="AC439" s="1"/>
      <c r="AD439" s="1"/>
    </row>
    <row r="440" spans="7:30">
      <c r="G440" s="1"/>
      <c r="H440" s="1"/>
      <c r="I440" s="1"/>
      <c r="J440" s="1"/>
      <c r="L440" s="1"/>
      <c r="M440" s="1"/>
      <c r="N440" s="1"/>
      <c r="O440" s="2"/>
      <c r="S440" s="2"/>
      <c r="T440" s="1"/>
      <c r="Z440" s="1"/>
      <c r="AA440" s="1"/>
      <c r="AB440" s="1"/>
      <c r="AC440" s="1"/>
      <c r="AD440" s="1"/>
    </row>
    <row r="441" spans="7:30">
      <c r="G441" s="1"/>
      <c r="H441" s="1"/>
      <c r="I441" s="1"/>
      <c r="J441" s="1"/>
      <c r="L441" s="1"/>
      <c r="M441" s="1"/>
      <c r="N441" s="1"/>
      <c r="O441" s="2"/>
      <c r="S441" s="2"/>
      <c r="T441" s="1"/>
      <c r="Z441" s="1"/>
      <c r="AA441" s="1"/>
      <c r="AB441" s="1"/>
      <c r="AC441" s="1"/>
      <c r="AD441" s="1"/>
    </row>
    <row r="442" spans="7:30">
      <c r="G442" s="1"/>
      <c r="H442" s="1"/>
      <c r="I442" s="1"/>
      <c r="J442" s="1"/>
      <c r="L442" s="1"/>
      <c r="M442" s="1"/>
      <c r="N442" s="1"/>
      <c r="O442" s="2"/>
      <c r="S442" s="2"/>
      <c r="T442" s="1"/>
      <c r="Z442" s="1"/>
      <c r="AA442" s="1"/>
      <c r="AB442" s="1"/>
      <c r="AC442" s="1"/>
      <c r="AD442" s="1"/>
    </row>
    <row r="443" spans="7:30">
      <c r="G443" s="1"/>
      <c r="H443" s="1"/>
      <c r="I443" s="1"/>
      <c r="J443" s="1"/>
      <c r="L443" s="1"/>
      <c r="M443" s="1"/>
      <c r="N443" s="1"/>
      <c r="O443" s="2"/>
      <c r="S443" s="2"/>
      <c r="T443" s="1"/>
      <c r="Z443" s="1"/>
      <c r="AA443" s="1"/>
      <c r="AB443" s="1"/>
      <c r="AC443" s="1"/>
      <c r="AD443" s="1"/>
    </row>
    <row r="444" spans="7:30">
      <c r="G444" s="1"/>
      <c r="H444" s="1"/>
      <c r="I444" s="1"/>
      <c r="J444" s="1"/>
      <c r="L444" s="1"/>
      <c r="M444" s="1"/>
      <c r="N444" s="1"/>
      <c r="O444" s="2"/>
      <c r="S444" s="2"/>
      <c r="T444" s="1"/>
      <c r="Z444" s="1"/>
      <c r="AA444" s="1"/>
      <c r="AB444" s="1"/>
      <c r="AC444" s="1"/>
      <c r="AD444" s="1"/>
    </row>
    <row r="445" spans="7:30">
      <c r="G445" s="1"/>
      <c r="H445" s="1"/>
      <c r="I445" s="1"/>
      <c r="J445" s="1"/>
      <c r="L445" s="1"/>
      <c r="M445" s="1"/>
      <c r="N445" s="1"/>
      <c r="O445" s="2"/>
      <c r="S445" s="2"/>
      <c r="T445" s="1"/>
      <c r="Z445" s="1"/>
      <c r="AA445" s="1"/>
      <c r="AB445" s="1"/>
      <c r="AC445" s="1"/>
      <c r="AD445" s="1"/>
    </row>
    <row r="446" spans="7:30">
      <c r="G446" s="1"/>
      <c r="H446" s="1"/>
      <c r="I446" s="1"/>
      <c r="J446" s="1"/>
      <c r="L446" s="1"/>
      <c r="M446" s="1"/>
      <c r="N446" s="1"/>
      <c r="O446" s="2"/>
      <c r="S446" s="2"/>
      <c r="T446" s="1"/>
      <c r="Z446" s="1"/>
      <c r="AA446" s="1"/>
      <c r="AB446" s="1"/>
      <c r="AC446" s="1"/>
      <c r="AD446" s="1"/>
    </row>
    <row r="447" spans="7:30">
      <c r="G447" s="1"/>
      <c r="H447" s="1"/>
      <c r="I447" s="1"/>
      <c r="J447" s="1"/>
      <c r="L447" s="1"/>
      <c r="M447" s="1"/>
      <c r="N447" s="1"/>
      <c r="O447" s="2"/>
      <c r="S447" s="2"/>
      <c r="T447" s="1"/>
      <c r="Z447" s="1"/>
      <c r="AA447" s="1"/>
      <c r="AB447" s="1"/>
      <c r="AC447" s="1"/>
      <c r="AD447" s="1"/>
    </row>
    <row r="448" spans="7:30">
      <c r="G448" s="1"/>
      <c r="H448" s="1"/>
      <c r="I448" s="1"/>
      <c r="J448" s="1"/>
      <c r="L448" s="1"/>
      <c r="M448" s="1"/>
      <c r="N448" s="1"/>
      <c r="O448" s="2"/>
      <c r="S448" s="2"/>
      <c r="T448" s="1"/>
      <c r="Z448" s="1"/>
      <c r="AA448" s="1"/>
      <c r="AB448" s="1"/>
      <c r="AC448" s="1"/>
      <c r="AD448" s="1"/>
    </row>
    <row r="449" spans="7:30">
      <c r="G449" s="1"/>
      <c r="H449" s="1"/>
      <c r="I449" s="1"/>
      <c r="J449" s="1"/>
      <c r="L449" s="1"/>
      <c r="M449" s="1"/>
      <c r="N449" s="1"/>
      <c r="O449" s="2"/>
      <c r="S449" s="2"/>
      <c r="T449" s="1"/>
      <c r="Z449" s="1"/>
      <c r="AA449" s="1"/>
      <c r="AB449" s="1"/>
      <c r="AC449" s="1"/>
      <c r="AD449" s="1"/>
    </row>
    <row r="450" spans="7:30">
      <c r="G450" s="1"/>
      <c r="H450" s="1"/>
      <c r="I450" s="1"/>
      <c r="J450" s="1"/>
      <c r="L450" s="1"/>
      <c r="M450" s="1"/>
      <c r="N450" s="1"/>
      <c r="O450" s="2"/>
      <c r="S450" s="2"/>
      <c r="T450" s="1"/>
      <c r="Z450" s="1"/>
      <c r="AA450" s="1"/>
      <c r="AB450" s="1"/>
      <c r="AC450" s="1"/>
      <c r="AD450" s="1"/>
    </row>
    <row r="451" spans="7:30">
      <c r="G451" s="1"/>
      <c r="H451" s="1"/>
      <c r="I451" s="1"/>
      <c r="J451" s="1"/>
      <c r="L451" s="1"/>
      <c r="M451" s="1"/>
      <c r="N451" s="1"/>
      <c r="O451" s="2"/>
      <c r="S451" s="2"/>
      <c r="T451" s="1"/>
      <c r="Z451" s="1"/>
      <c r="AA451" s="1"/>
      <c r="AB451" s="1"/>
      <c r="AC451" s="1"/>
      <c r="AD451" s="1"/>
    </row>
    <row r="452" spans="7:30">
      <c r="G452" s="1"/>
      <c r="H452" s="1"/>
      <c r="I452" s="1"/>
      <c r="J452" s="1"/>
      <c r="L452" s="1"/>
      <c r="M452" s="1"/>
      <c r="N452" s="1"/>
      <c r="O452" s="2"/>
      <c r="S452" s="2"/>
      <c r="T452" s="1"/>
      <c r="Z452" s="1"/>
      <c r="AA452" s="1"/>
      <c r="AB452" s="1"/>
      <c r="AC452" s="1"/>
      <c r="AD452" s="1"/>
    </row>
    <row r="453" spans="7:30">
      <c r="G453" s="1"/>
      <c r="H453" s="1"/>
      <c r="I453" s="1"/>
      <c r="J453" s="1"/>
      <c r="L453" s="1"/>
      <c r="M453" s="1"/>
      <c r="N453" s="1"/>
      <c r="O453" s="2"/>
      <c r="S453" s="2"/>
      <c r="T453" s="1"/>
      <c r="Z453" s="1"/>
      <c r="AA453" s="1"/>
      <c r="AB453" s="1"/>
      <c r="AC453" s="1"/>
      <c r="AD453" s="1"/>
    </row>
    <row r="454" spans="7:30">
      <c r="G454" s="1"/>
      <c r="H454" s="1"/>
      <c r="I454" s="1"/>
      <c r="J454" s="1"/>
      <c r="L454" s="1"/>
      <c r="M454" s="1"/>
      <c r="N454" s="1"/>
      <c r="O454" s="2"/>
      <c r="S454" s="2"/>
      <c r="T454" s="1"/>
      <c r="Z454" s="1"/>
      <c r="AA454" s="1"/>
      <c r="AB454" s="1"/>
      <c r="AC454" s="1"/>
      <c r="AD454" s="1"/>
    </row>
    <row r="455" spans="7:30">
      <c r="G455" s="1"/>
      <c r="H455" s="1"/>
      <c r="I455" s="1"/>
      <c r="J455" s="1"/>
      <c r="L455" s="1"/>
      <c r="M455" s="1"/>
      <c r="N455" s="1"/>
      <c r="O455" s="2"/>
      <c r="S455" s="2"/>
      <c r="T455" s="1"/>
      <c r="Z455" s="1"/>
      <c r="AA455" s="1"/>
      <c r="AB455" s="1"/>
      <c r="AC455" s="1"/>
      <c r="AD455" s="1"/>
    </row>
    <row r="456" spans="7:30">
      <c r="G456" s="1"/>
      <c r="H456" s="1"/>
      <c r="I456" s="1"/>
      <c r="J456" s="1"/>
      <c r="L456" s="1"/>
      <c r="M456" s="1"/>
      <c r="N456" s="1"/>
      <c r="O456" s="2"/>
      <c r="S456" s="2"/>
      <c r="T456" s="1"/>
      <c r="Z456" s="1"/>
      <c r="AA456" s="1"/>
      <c r="AB456" s="1"/>
      <c r="AC456" s="1"/>
      <c r="AD456" s="1"/>
    </row>
    <row r="457" spans="7:30">
      <c r="G457" s="1"/>
      <c r="H457" s="1"/>
      <c r="I457" s="1"/>
      <c r="J457" s="1"/>
      <c r="L457" s="1"/>
      <c r="M457" s="1"/>
      <c r="N457" s="1"/>
      <c r="O457" s="2"/>
      <c r="S457" s="2"/>
      <c r="T457" s="1"/>
      <c r="Z457" s="1"/>
      <c r="AA457" s="1"/>
      <c r="AB457" s="1"/>
      <c r="AC457" s="1"/>
      <c r="AD457" s="1"/>
    </row>
    <row r="458" spans="7:30">
      <c r="G458" s="1"/>
      <c r="H458" s="1"/>
      <c r="I458" s="1"/>
      <c r="J458" s="1"/>
      <c r="L458" s="1"/>
      <c r="M458" s="1"/>
      <c r="N458" s="1"/>
      <c r="O458" s="2"/>
      <c r="S458" s="2"/>
      <c r="T458" s="1"/>
      <c r="Z458" s="1"/>
      <c r="AA458" s="1"/>
      <c r="AB458" s="1"/>
      <c r="AC458" s="1"/>
      <c r="AD458" s="1"/>
    </row>
    <row r="459" spans="7:30">
      <c r="G459" s="1"/>
      <c r="H459" s="1"/>
      <c r="I459" s="1"/>
      <c r="J459" s="1"/>
      <c r="L459" s="1"/>
      <c r="M459" s="1"/>
      <c r="N459" s="1"/>
      <c r="O459" s="2"/>
      <c r="S459" s="2"/>
      <c r="T459" s="1"/>
      <c r="Z459" s="1"/>
      <c r="AA459" s="1"/>
      <c r="AB459" s="1"/>
      <c r="AC459" s="1"/>
      <c r="AD459" s="1"/>
    </row>
    <row r="460" spans="7:30">
      <c r="G460" s="1"/>
      <c r="H460" s="1"/>
      <c r="I460" s="1"/>
      <c r="J460" s="1"/>
      <c r="L460" s="1"/>
      <c r="M460" s="1"/>
      <c r="N460" s="1"/>
      <c r="O460" s="2"/>
      <c r="S460" s="2"/>
      <c r="T460" s="1"/>
      <c r="Z460" s="1"/>
      <c r="AA460" s="1"/>
      <c r="AB460" s="1"/>
      <c r="AC460" s="1"/>
      <c r="AD460" s="1"/>
    </row>
    <row r="461" spans="7:30">
      <c r="G461" s="1"/>
      <c r="H461" s="1"/>
      <c r="I461" s="1"/>
      <c r="J461" s="1"/>
      <c r="L461" s="1"/>
      <c r="M461" s="1"/>
      <c r="N461" s="1"/>
      <c r="O461" s="2"/>
      <c r="S461" s="2"/>
      <c r="T461" s="1"/>
      <c r="Z461" s="1"/>
      <c r="AA461" s="1"/>
      <c r="AB461" s="1"/>
      <c r="AC461" s="1"/>
      <c r="AD461" s="1"/>
    </row>
    <row r="462" spans="7:30">
      <c r="G462" s="1"/>
      <c r="H462" s="1"/>
      <c r="I462" s="1"/>
      <c r="J462" s="1"/>
      <c r="L462" s="1"/>
      <c r="M462" s="1"/>
      <c r="N462" s="1"/>
      <c r="O462" s="2"/>
      <c r="S462" s="2"/>
      <c r="T462" s="1"/>
      <c r="Z462" s="1"/>
      <c r="AA462" s="1"/>
      <c r="AB462" s="1"/>
      <c r="AC462" s="1"/>
      <c r="AD462" s="1"/>
    </row>
    <row r="463" spans="7:30">
      <c r="G463" s="1"/>
      <c r="H463" s="1"/>
      <c r="I463" s="1"/>
      <c r="J463" s="1"/>
      <c r="L463" s="1"/>
      <c r="M463" s="1"/>
      <c r="N463" s="1"/>
      <c r="O463" s="2"/>
      <c r="S463" s="2"/>
      <c r="T463" s="1"/>
      <c r="Z463" s="1"/>
      <c r="AA463" s="1"/>
      <c r="AB463" s="1"/>
      <c r="AC463" s="1"/>
      <c r="AD463" s="1"/>
    </row>
    <row r="464" spans="7:30">
      <c r="G464" s="1"/>
      <c r="H464" s="1"/>
      <c r="I464" s="1"/>
      <c r="J464" s="1"/>
      <c r="L464" s="1"/>
      <c r="M464" s="1"/>
      <c r="N464" s="1"/>
      <c r="O464" s="2"/>
      <c r="S464" s="2"/>
      <c r="T464" s="1"/>
      <c r="Z464" s="1"/>
      <c r="AA464" s="1"/>
      <c r="AB464" s="1"/>
      <c r="AC464" s="1"/>
      <c r="AD464" s="1"/>
    </row>
    <row r="465" spans="7:30">
      <c r="G465" s="1"/>
      <c r="H465" s="1"/>
      <c r="I465" s="1"/>
      <c r="J465" s="1"/>
      <c r="L465" s="1"/>
      <c r="M465" s="1"/>
      <c r="N465" s="1"/>
      <c r="O465" s="2"/>
      <c r="S465" s="2"/>
      <c r="T465" s="1"/>
      <c r="Z465" s="1"/>
      <c r="AA465" s="1"/>
      <c r="AB465" s="1"/>
      <c r="AC465" s="1"/>
      <c r="AD465" s="1"/>
    </row>
    <row r="466" spans="7:30">
      <c r="G466" s="1"/>
      <c r="H466" s="1"/>
      <c r="I466" s="1"/>
      <c r="J466" s="1"/>
      <c r="L466" s="1"/>
      <c r="M466" s="1"/>
      <c r="N466" s="1"/>
      <c r="O466" s="2"/>
      <c r="S466" s="2"/>
      <c r="T466" s="1"/>
      <c r="Z466" s="1"/>
      <c r="AA466" s="1"/>
      <c r="AB466" s="1"/>
      <c r="AC466" s="1"/>
      <c r="AD466" s="1"/>
    </row>
    <row r="467" spans="7:30">
      <c r="G467" s="1"/>
      <c r="H467" s="1"/>
      <c r="I467" s="1"/>
      <c r="J467" s="1"/>
      <c r="L467" s="1"/>
      <c r="M467" s="1"/>
      <c r="N467" s="1"/>
      <c r="O467" s="2"/>
      <c r="S467" s="2"/>
      <c r="T467" s="1"/>
      <c r="Z467" s="1"/>
      <c r="AA467" s="1"/>
      <c r="AB467" s="1"/>
      <c r="AC467" s="1"/>
      <c r="AD467" s="1"/>
    </row>
    <row r="468" spans="7:30">
      <c r="G468" s="1"/>
      <c r="H468" s="1"/>
      <c r="I468" s="1"/>
      <c r="J468" s="1"/>
      <c r="L468" s="1"/>
      <c r="M468" s="1"/>
      <c r="N468" s="1"/>
      <c r="O468" s="2"/>
      <c r="S468" s="2"/>
      <c r="T468" s="1"/>
      <c r="Z468" s="1"/>
      <c r="AA468" s="1"/>
      <c r="AB468" s="1"/>
      <c r="AC468" s="1"/>
      <c r="AD468" s="1"/>
    </row>
    <row r="469" spans="7:30">
      <c r="G469" s="1"/>
      <c r="H469" s="1"/>
      <c r="I469" s="1"/>
      <c r="J469" s="1"/>
      <c r="L469" s="1"/>
      <c r="M469" s="1"/>
      <c r="N469" s="1"/>
      <c r="O469" s="2"/>
      <c r="S469" s="2"/>
      <c r="T469" s="1"/>
      <c r="Z469" s="1"/>
      <c r="AA469" s="1"/>
      <c r="AB469" s="1"/>
      <c r="AC469" s="1"/>
      <c r="AD469" s="1"/>
    </row>
    <row r="470" spans="7:30">
      <c r="G470" s="1"/>
      <c r="H470" s="1"/>
      <c r="I470" s="1"/>
      <c r="J470" s="1"/>
      <c r="L470" s="1"/>
      <c r="M470" s="1"/>
      <c r="N470" s="1"/>
      <c r="O470" s="2"/>
      <c r="S470" s="2"/>
      <c r="T470" s="1"/>
      <c r="Z470" s="1"/>
      <c r="AA470" s="1"/>
      <c r="AB470" s="1"/>
      <c r="AC470" s="1"/>
      <c r="AD470" s="1"/>
    </row>
    <row r="471" spans="7:30">
      <c r="G471" s="1"/>
      <c r="H471" s="1"/>
      <c r="I471" s="1"/>
      <c r="J471" s="1"/>
      <c r="L471" s="1"/>
      <c r="M471" s="1"/>
      <c r="N471" s="1"/>
      <c r="O471" s="2"/>
      <c r="S471" s="2"/>
      <c r="T471" s="1"/>
      <c r="Z471" s="1"/>
      <c r="AA471" s="1"/>
      <c r="AB471" s="1"/>
      <c r="AC471" s="1"/>
      <c r="AD471" s="1"/>
    </row>
    <row r="472" spans="7:30">
      <c r="G472" s="1"/>
      <c r="H472" s="1"/>
      <c r="I472" s="1"/>
      <c r="J472" s="1"/>
      <c r="L472" s="1"/>
      <c r="M472" s="1"/>
      <c r="N472" s="1"/>
      <c r="O472" s="2"/>
      <c r="S472" s="2"/>
      <c r="T472" s="1"/>
      <c r="Z472" s="1"/>
      <c r="AA472" s="1"/>
      <c r="AB472" s="1"/>
      <c r="AC472" s="1"/>
      <c r="AD472" s="1"/>
    </row>
    <row r="473" spans="7:30">
      <c r="G473" s="1"/>
      <c r="H473" s="1"/>
      <c r="I473" s="1"/>
      <c r="J473" s="1"/>
      <c r="L473" s="1"/>
      <c r="M473" s="1"/>
      <c r="N473" s="1"/>
      <c r="O473" s="2"/>
      <c r="S473" s="2"/>
      <c r="T473" s="1"/>
      <c r="Z473" s="1"/>
      <c r="AA473" s="1"/>
      <c r="AB473" s="1"/>
      <c r="AC473" s="1"/>
      <c r="AD473" s="1"/>
    </row>
    <row r="474" spans="7:30">
      <c r="G474" s="1"/>
      <c r="H474" s="1"/>
      <c r="I474" s="1"/>
      <c r="J474" s="1"/>
      <c r="L474" s="1"/>
      <c r="M474" s="1"/>
      <c r="N474" s="1"/>
      <c r="O474" s="2"/>
      <c r="S474" s="2"/>
      <c r="T474" s="1"/>
      <c r="Z474" s="1"/>
      <c r="AA474" s="1"/>
      <c r="AB474" s="1"/>
      <c r="AC474" s="1"/>
      <c r="AD474" s="1"/>
    </row>
    <row r="475" spans="7:30">
      <c r="G475" s="1"/>
      <c r="H475" s="1"/>
      <c r="I475" s="1"/>
      <c r="J475" s="1"/>
      <c r="L475" s="1"/>
      <c r="M475" s="1"/>
      <c r="N475" s="1"/>
      <c r="O475" s="2"/>
      <c r="S475" s="2"/>
      <c r="T475" s="1"/>
      <c r="Z475" s="1"/>
      <c r="AA475" s="1"/>
      <c r="AB475" s="1"/>
      <c r="AC475" s="1"/>
      <c r="AD475" s="1"/>
    </row>
    <row r="476" spans="7:30">
      <c r="G476" s="1"/>
      <c r="H476" s="1"/>
      <c r="I476" s="1"/>
      <c r="J476" s="1"/>
      <c r="L476" s="1"/>
      <c r="M476" s="1"/>
      <c r="N476" s="1"/>
      <c r="O476" s="2"/>
      <c r="S476" s="2"/>
      <c r="T476" s="1"/>
      <c r="Z476" s="1"/>
      <c r="AA476" s="1"/>
      <c r="AB476" s="1"/>
      <c r="AC476" s="1"/>
      <c r="AD476" s="1"/>
    </row>
    <row r="477" spans="7:30">
      <c r="G477" s="1"/>
      <c r="H477" s="1"/>
      <c r="I477" s="1"/>
      <c r="J477" s="1"/>
      <c r="L477" s="1"/>
      <c r="M477" s="1"/>
      <c r="N477" s="1"/>
      <c r="O477" s="2"/>
      <c r="S477" s="2"/>
      <c r="T477" s="1"/>
      <c r="Z477" s="1"/>
      <c r="AA477" s="1"/>
      <c r="AB477" s="1"/>
      <c r="AC477" s="1"/>
      <c r="AD477" s="1"/>
    </row>
    <row r="478" spans="7:30">
      <c r="G478" s="1"/>
      <c r="H478" s="1"/>
      <c r="I478" s="1"/>
      <c r="J478" s="1"/>
      <c r="L478" s="1"/>
      <c r="M478" s="1"/>
      <c r="N478" s="1"/>
      <c r="O478" s="2"/>
      <c r="S478" s="2"/>
      <c r="T478" s="1"/>
      <c r="Z478" s="1"/>
      <c r="AA478" s="1"/>
      <c r="AB478" s="1"/>
      <c r="AC478" s="1"/>
      <c r="AD478" s="1"/>
    </row>
    <row r="479" spans="7:30">
      <c r="G479" s="1"/>
      <c r="H479" s="1"/>
      <c r="I479" s="1"/>
      <c r="J479" s="1"/>
      <c r="L479" s="1"/>
      <c r="M479" s="1"/>
      <c r="N479" s="1"/>
      <c r="O479" s="2"/>
      <c r="S479" s="2"/>
      <c r="T479" s="1"/>
      <c r="Z479" s="1"/>
      <c r="AA479" s="1"/>
      <c r="AB479" s="1"/>
      <c r="AC479" s="1"/>
      <c r="AD479" s="1"/>
    </row>
    <row r="480" spans="7:30">
      <c r="G480" s="1"/>
      <c r="H480" s="1"/>
      <c r="I480" s="1"/>
      <c r="J480" s="1"/>
      <c r="L480" s="1"/>
      <c r="M480" s="1"/>
      <c r="N480" s="1"/>
      <c r="O480" s="2"/>
      <c r="S480" s="2"/>
      <c r="T480" s="1"/>
      <c r="Z480" s="1"/>
      <c r="AA480" s="1"/>
      <c r="AB480" s="1"/>
      <c r="AC480" s="1"/>
      <c r="AD480" s="1"/>
    </row>
    <row r="481" spans="7:30">
      <c r="G481" s="1"/>
      <c r="H481" s="1"/>
      <c r="I481" s="1"/>
      <c r="J481" s="1"/>
      <c r="L481" s="1"/>
      <c r="M481" s="1"/>
      <c r="N481" s="1"/>
      <c r="O481" s="2"/>
      <c r="S481" s="2"/>
      <c r="T481" s="1"/>
      <c r="Z481" s="1"/>
      <c r="AA481" s="1"/>
      <c r="AB481" s="1"/>
      <c r="AC481" s="1"/>
      <c r="AD481" s="1"/>
    </row>
    <row r="482" spans="7:30">
      <c r="G482" s="1"/>
      <c r="H482" s="1"/>
      <c r="I482" s="1"/>
      <c r="J482" s="1"/>
      <c r="L482" s="1"/>
      <c r="M482" s="1"/>
      <c r="N482" s="1"/>
      <c r="O482" s="2"/>
      <c r="S482" s="2"/>
      <c r="T482" s="1"/>
      <c r="Z482" s="1"/>
      <c r="AA482" s="1"/>
      <c r="AB482" s="1"/>
      <c r="AC482" s="1"/>
      <c r="AD482" s="1"/>
    </row>
    <row r="483" spans="7:30">
      <c r="G483" s="1"/>
      <c r="H483" s="1"/>
      <c r="I483" s="1"/>
      <c r="J483" s="1"/>
      <c r="L483" s="1"/>
      <c r="M483" s="1"/>
      <c r="N483" s="1"/>
      <c r="O483" s="2"/>
      <c r="S483" s="2"/>
      <c r="T483" s="1"/>
      <c r="Z483" s="1"/>
      <c r="AA483" s="1"/>
      <c r="AB483" s="1"/>
      <c r="AC483" s="1"/>
      <c r="AD483" s="1"/>
    </row>
    <row r="484" spans="7:30">
      <c r="G484" s="1"/>
      <c r="H484" s="1"/>
      <c r="I484" s="1"/>
      <c r="J484" s="1"/>
      <c r="L484" s="1"/>
      <c r="M484" s="1"/>
      <c r="N484" s="1"/>
      <c r="O484" s="2"/>
      <c r="S484" s="2"/>
      <c r="T484" s="1"/>
      <c r="Z484" s="1"/>
      <c r="AA484" s="1"/>
      <c r="AB484" s="1"/>
      <c r="AC484" s="1"/>
      <c r="AD484" s="1"/>
    </row>
    <row r="485" spans="7:30">
      <c r="G485" s="1"/>
      <c r="H485" s="1"/>
      <c r="I485" s="1"/>
      <c r="J485" s="1"/>
      <c r="L485" s="1"/>
      <c r="M485" s="1"/>
      <c r="N485" s="1"/>
      <c r="O485" s="2"/>
      <c r="S485" s="2"/>
      <c r="T485" s="1"/>
      <c r="Z485" s="1"/>
      <c r="AA485" s="1"/>
      <c r="AB485" s="1"/>
      <c r="AC485" s="1"/>
      <c r="AD485" s="1"/>
    </row>
    <row r="486" spans="7:30">
      <c r="G486" s="1"/>
      <c r="H486" s="1"/>
      <c r="I486" s="1"/>
      <c r="J486" s="1"/>
      <c r="L486" s="1"/>
      <c r="M486" s="1"/>
      <c r="N486" s="1"/>
      <c r="O486" s="2"/>
      <c r="S486" s="2"/>
      <c r="T486" s="1"/>
      <c r="Z486" s="1"/>
      <c r="AA486" s="1"/>
      <c r="AB486" s="1"/>
      <c r="AC486" s="1"/>
      <c r="AD486" s="1"/>
    </row>
    <row r="487" spans="7:30">
      <c r="G487" s="1"/>
      <c r="H487" s="1"/>
      <c r="I487" s="1"/>
      <c r="J487" s="1"/>
      <c r="L487" s="1"/>
      <c r="M487" s="1"/>
      <c r="N487" s="1"/>
      <c r="O487" s="2"/>
      <c r="S487" s="2"/>
      <c r="T487" s="1"/>
      <c r="Z487" s="1"/>
      <c r="AA487" s="1"/>
      <c r="AB487" s="1"/>
      <c r="AC487" s="1"/>
      <c r="AD487" s="1"/>
    </row>
    <row r="488" spans="7:30">
      <c r="G488" s="1"/>
      <c r="H488" s="1"/>
      <c r="I488" s="1"/>
      <c r="J488" s="1"/>
      <c r="L488" s="1"/>
      <c r="M488" s="1"/>
      <c r="N488" s="1"/>
      <c r="O488" s="2"/>
      <c r="S488" s="2"/>
      <c r="T488" s="1"/>
      <c r="Z488" s="1"/>
      <c r="AA488" s="1"/>
      <c r="AB488" s="1"/>
      <c r="AC488" s="1"/>
      <c r="AD488" s="1"/>
    </row>
    <row r="489" spans="7:30">
      <c r="G489" s="1"/>
      <c r="H489" s="1"/>
      <c r="I489" s="1"/>
      <c r="J489" s="1"/>
      <c r="L489" s="1"/>
      <c r="M489" s="1"/>
      <c r="N489" s="1"/>
      <c r="O489" s="2"/>
      <c r="S489" s="2"/>
      <c r="T489" s="1"/>
      <c r="Z489" s="1"/>
      <c r="AA489" s="1"/>
      <c r="AB489" s="1"/>
      <c r="AC489" s="1"/>
      <c r="AD489" s="1"/>
    </row>
    <row r="490" spans="7:30">
      <c r="G490" s="1"/>
      <c r="H490" s="1"/>
      <c r="I490" s="1"/>
      <c r="J490" s="1"/>
      <c r="L490" s="1"/>
      <c r="M490" s="1"/>
      <c r="N490" s="1"/>
      <c r="O490" s="2"/>
      <c r="S490" s="2"/>
      <c r="T490" s="1"/>
      <c r="Z490" s="1"/>
      <c r="AA490" s="1"/>
      <c r="AB490" s="1"/>
      <c r="AC490" s="1"/>
      <c r="AD490" s="1"/>
    </row>
    <row r="491" spans="7:30">
      <c r="G491" s="1"/>
      <c r="H491" s="1"/>
      <c r="I491" s="1"/>
      <c r="J491" s="1"/>
      <c r="L491" s="1"/>
      <c r="M491" s="1"/>
      <c r="N491" s="1"/>
      <c r="O491" s="2"/>
      <c r="S491" s="2"/>
      <c r="T491" s="1"/>
      <c r="Z491" s="1"/>
      <c r="AA491" s="1"/>
      <c r="AB491" s="1"/>
      <c r="AC491" s="1"/>
      <c r="AD491" s="1"/>
    </row>
    <row r="492" spans="7:30">
      <c r="G492" s="1"/>
      <c r="H492" s="1"/>
      <c r="I492" s="1"/>
      <c r="J492" s="1"/>
      <c r="L492" s="1"/>
      <c r="M492" s="1"/>
      <c r="N492" s="1"/>
      <c r="O492" s="2"/>
      <c r="S492" s="2"/>
      <c r="T492" s="1"/>
      <c r="Z492" s="1"/>
      <c r="AA492" s="1"/>
      <c r="AB492" s="1"/>
      <c r="AC492" s="1"/>
      <c r="AD492" s="1"/>
    </row>
    <row r="493" spans="7:30">
      <c r="G493" s="1"/>
      <c r="H493" s="1"/>
      <c r="I493" s="1"/>
      <c r="J493" s="1"/>
      <c r="L493" s="1"/>
      <c r="M493" s="1"/>
      <c r="N493" s="1"/>
      <c r="O493" s="2"/>
      <c r="S493" s="2"/>
      <c r="T493" s="1"/>
      <c r="Z493" s="1"/>
      <c r="AA493" s="1"/>
      <c r="AB493" s="1"/>
      <c r="AC493" s="1"/>
      <c r="AD493" s="1"/>
    </row>
    <row r="494" spans="7:30">
      <c r="G494" s="1"/>
      <c r="H494" s="1"/>
      <c r="I494" s="1"/>
      <c r="J494" s="1"/>
      <c r="L494" s="1"/>
      <c r="M494" s="1"/>
      <c r="N494" s="1"/>
      <c r="O494" s="2"/>
      <c r="S494" s="2"/>
      <c r="T494" s="1"/>
      <c r="Z494" s="1"/>
      <c r="AA494" s="1"/>
      <c r="AB494" s="1"/>
      <c r="AC494" s="1"/>
      <c r="AD494" s="1"/>
    </row>
    <row r="495" spans="7:30">
      <c r="G495" s="1"/>
      <c r="H495" s="1"/>
      <c r="I495" s="1"/>
      <c r="J495" s="1"/>
      <c r="L495" s="1"/>
      <c r="M495" s="1"/>
      <c r="N495" s="1"/>
      <c r="O495" s="2"/>
      <c r="S495" s="2"/>
      <c r="T495" s="1"/>
      <c r="Z495" s="1"/>
      <c r="AA495" s="1"/>
      <c r="AB495" s="1"/>
      <c r="AC495" s="1"/>
      <c r="AD495" s="1"/>
    </row>
    <row r="496" spans="7:30">
      <c r="G496" s="1"/>
      <c r="H496" s="1"/>
      <c r="I496" s="1"/>
      <c r="J496" s="1"/>
      <c r="L496" s="1"/>
      <c r="M496" s="1"/>
      <c r="N496" s="1"/>
      <c r="O496" s="2"/>
      <c r="S496" s="2"/>
      <c r="T496" s="1"/>
      <c r="Z496" s="1"/>
      <c r="AA496" s="1"/>
      <c r="AB496" s="1"/>
      <c r="AC496" s="1"/>
      <c r="AD496" s="1"/>
    </row>
    <row r="497" spans="7:30">
      <c r="G497" s="1"/>
      <c r="H497" s="1"/>
      <c r="I497" s="1"/>
      <c r="J497" s="1"/>
      <c r="L497" s="1"/>
      <c r="M497" s="1"/>
      <c r="N497" s="1"/>
      <c r="O497" s="2"/>
      <c r="S497" s="2"/>
      <c r="T497" s="1"/>
      <c r="Z497" s="1"/>
      <c r="AA497" s="1"/>
      <c r="AB497" s="1"/>
      <c r="AC497" s="1"/>
      <c r="AD497" s="1"/>
    </row>
    <row r="498" spans="7:30">
      <c r="G498" s="1"/>
      <c r="H498" s="1"/>
      <c r="I498" s="1"/>
      <c r="J498" s="1"/>
      <c r="L498" s="1"/>
      <c r="M498" s="1"/>
      <c r="N498" s="1"/>
      <c r="O498" s="2"/>
      <c r="S498" s="2"/>
      <c r="T498" s="1"/>
      <c r="Z498" s="1"/>
      <c r="AA498" s="1"/>
      <c r="AB498" s="1"/>
      <c r="AC498" s="1"/>
      <c r="AD498" s="1"/>
    </row>
    <row r="499" spans="7:30">
      <c r="G499" s="1"/>
      <c r="H499" s="1"/>
      <c r="I499" s="1"/>
      <c r="J499" s="1"/>
      <c r="L499" s="1"/>
      <c r="M499" s="1"/>
      <c r="N499" s="1"/>
      <c r="O499" s="2"/>
      <c r="S499" s="2"/>
      <c r="T499" s="1"/>
      <c r="Z499" s="1"/>
      <c r="AA499" s="1"/>
      <c r="AB499" s="1"/>
      <c r="AC499" s="1"/>
      <c r="AD499" s="1"/>
    </row>
    <row r="500" spans="7:30">
      <c r="G500" s="1"/>
      <c r="H500" s="1"/>
      <c r="I500" s="1"/>
      <c r="J500" s="1"/>
      <c r="L500" s="1"/>
      <c r="M500" s="1"/>
      <c r="N500" s="1"/>
      <c r="O500" s="2"/>
      <c r="S500" s="2"/>
      <c r="T500" s="1"/>
      <c r="Z500" s="1"/>
      <c r="AA500" s="1"/>
      <c r="AB500" s="1"/>
      <c r="AC500" s="1"/>
      <c r="AD500" s="1"/>
    </row>
    <row r="501" spans="7:30">
      <c r="G501" s="1"/>
      <c r="H501" s="1"/>
      <c r="I501" s="1"/>
      <c r="J501" s="1"/>
      <c r="L501" s="1"/>
      <c r="M501" s="1"/>
      <c r="N501" s="1"/>
      <c r="O501" s="2"/>
      <c r="S501" s="2"/>
      <c r="T501" s="1"/>
      <c r="Z501" s="1"/>
      <c r="AA501" s="1"/>
      <c r="AB501" s="1"/>
      <c r="AC501" s="1"/>
      <c r="AD501" s="1"/>
    </row>
    <row r="502" spans="7:30">
      <c r="G502" s="1"/>
      <c r="H502" s="1"/>
      <c r="I502" s="1"/>
      <c r="J502" s="1"/>
      <c r="L502" s="1"/>
      <c r="M502" s="1"/>
      <c r="N502" s="1"/>
      <c r="O502" s="2"/>
      <c r="S502" s="2"/>
      <c r="T502" s="1"/>
      <c r="Z502" s="1"/>
      <c r="AA502" s="1"/>
      <c r="AB502" s="1"/>
      <c r="AC502" s="1"/>
      <c r="AD502" s="1"/>
    </row>
    <row r="503" spans="7:30">
      <c r="G503" s="1"/>
      <c r="H503" s="1"/>
      <c r="I503" s="1"/>
      <c r="J503" s="1"/>
      <c r="L503" s="1"/>
      <c r="M503" s="1"/>
      <c r="N503" s="1"/>
      <c r="O503" s="2"/>
      <c r="S503" s="2"/>
      <c r="T503" s="1"/>
      <c r="Z503" s="1"/>
      <c r="AA503" s="1"/>
      <c r="AB503" s="1"/>
      <c r="AC503" s="1"/>
      <c r="AD503" s="1"/>
    </row>
    <row r="504" spans="7:30">
      <c r="G504" s="1"/>
      <c r="H504" s="1"/>
      <c r="I504" s="1"/>
      <c r="J504" s="1"/>
      <c r="L504" s="1"/>
      <c r="M504" s="1"/>
      <c r="N504" s="1"/>
      <c r="O504" s="2"/>
      <c r="S504" s="2"/>
      <c r="T504" s="1"/>
      <c r="Z504" s="1"/>
      <c r="AA504" s="1"/>
      <c r="AB504" s="1"/>
      <c r="AC504" s="1"/>
      <c r="AD504" s="1"/>
    </row>
    <row r="505" spans="7:30">
      <c r="G505" s="1"/>
      <c r="H505" s="1"/>
      <c r="I505" s="1"/>
      <c r="J505" s="1"/>
      <c r="L505" s="1"/>
      <c r="M505" s="1"/>
      <c r="N505" s="1"/>
      <c r="O505" s="2"/>
      <c r="S505" s="2"/>
      <c r="T505" s="1"/>
      <c r="Z505" s="1"/>
      <c r="AA505" s="1"/>
      <c r="AB505" s="1"/>
      <c r="AC505" s="1"/>
      <c r="AD505" s="1"/>
    </row>
    <row r="506" spans="7:30">
      <c r="G506" s="1"/>
      <c r="H506" s="1"/>
      <c r="I506" s="1"/>
      <c r="J506" s="1"/>
      <c r="L506" s="1"/>
      <c r="M506" s="1"/>
      <c r="N506" s="1"/>
      <c r="O506" s="2"/>
      <c r="S506" s="2"/>
      <c r="T506" s="1"/>
      <c r="Z506" s="1"/>
      <c r="AA506" s="1"/>
      <c r="AB506" s="1"/>
      <c r="AC506" s="1"/>
      <c r="AD506" s="1"/>
    </row>
    <row r="507" spans="7:30">
      <c r="G507" s="1"/>
      <c r="H507" s="1"/>
      <c r="I507" s="1"/>
      <c r="J507" s="1"/>
      <c r="L507" s="1"/>
      <c r="M507" s="1"/>
      <c r="N507" s="1"/>
      <c r="O507" s="2"/>
      <c r="S507" s="2"/>
      <c r="T507" s="1"/>
      <c r="Z507" s="1"/>
      <c r="AA507" s="1"/>
      <c r="AB507" s="1"/>
      <c r="AC507" s="1"/>
      <c r="AD507" s="1"/>
    </row>
    <row r="508" spans="7:30">
      <c r="G508" s="1"/>
      <c r="H508" s="1"/>
      <c r="I508" s="1"/>
      <c r="J508" s="1"/>
      <c r="L508" s="1"/>
      <c r="M508" s="1"/>
      <c r="N508" s="1"/>
      <c r="O508" s="2"/>
      <c r="S508" s="2"/>
      <c r="T508" s="1"/>
      <c r="Z508" s="1"/>
      <c r="AA508" s="1"/>
      <c r="AB508" s="1"/>
      <c r="AC508" s="1"/>
      <c r="AD508" s="1"/>
    </row>
    <row r="509" spans="7:30">
      <c r="G509" s="1"/>
      <c r="H509" s="1"/>
      <c r="I509" s="1"/>
      <c r="J509" s="1"/>
      <c r="L509" s="1"/>
      <c r="M509" s="1"/>
      <c r="N509" s="1"/>
      <c r="O509" s="2"/>
      <c r="S509" s="2"/>
      <c r="T509" s="1"/>
      <c r="Z509" s="1"/>
      <c r="AA509" s="1"/>
      <c r="AB509" s="1"/>
      <c r="AC509" s="1"/>
      <c r="AD509" s="1"/>
    </row>
    <row r="510" spans="7:30">
      <c r="G510" s="1"/>
      <c r="H510" s="1"/>
      <c r="I510" s="1"/>
      <c r="J510" s="1"/>
      <c r="L510" s="1"/>
      <c r="M510" s="1"/>
      <c r="N510" s="1"/>
      <c r="O510" s="2"/>
      <c r="S510" s="2"/>
      <c r="T510" s="1"/>
      <c r="Z510" s="1"/>
      <c r="AA510" s="1"/>
      <c r="AB510" s="1"/>
      <c r="AC510" s="1"/>
      <c r="AD510" s="1"/>
    </row>
    <row r="511" spans="7:30">
      <c r="G511" s="1"/>
      <c r="H511" s="1"/>
      <c r="I511" s="1"/>
      <c r="J511" s="1"/>
      <c r="L511" s="1"/>
      <c r="M511" s="1"/>
      <c r="N511" s="1"/>
      <c r="O511" s="2"/>
      <c r="S511" s="2"/>
      <c r="T511" s="1"/>
      <c r="Z511" s="1"/>
      <c r="AA511" s="1"/>
      <c r="AB511" s="1"/>
      <c r="AC511" s="1"/>
      <c r="AD511" s="1"/>
    </row>
    <row r="512" spans="7:30">
      <c r="G512" s="1"/>
      <c r="H512" s="1"/>
      <c r="I512" s="1"/>
      <c r="J512" s="1"/>
      <c r="L512" s="1"/>
      <c r="M512" s="1"/>
      <c r="N512" s="1"/>
      <c r="O512" s="2"/>
      <c r="S512" s="2"/>
      <c r="T512" s="1"/>
      <c r="Z512" s="1"/>
      <c r="AA512" s="1"/>
      <c r="AB512" s="1"/>
      <c r="AC512" s="1"/>
      <c r="AD512" s="1"/>
    </row>
    <row r="513" spans="7:30">
      <c r="G513" s="1"/>
      <c r="H513" s="1"/>
      <c r="I513" s="1"/>
      <c r="J513" s="1"/>
      <c r="L513" s="1"/>
      <c r="M513" s="1"/>
      <c r="N513" s="1"/>
      <c r="O513" s="2"/>
      <c r="S513" s="2"/>
      <c r="T513" s="1"/>
      <c r="Z513" s="1"/>
      <c r="AA513" s="1"/>
      <c r="AB513" s="1"/>
      <c r="AC513" s="1"/>
      <c r="AD513" s="1"/>
    </row>
    <row r="514" spans="7:30">
      <c r="G514" s="1"/>
      <c r="H514" s="1"/>
      <c r="I514" s="1"/>
      <c r="J514" s="1"/>
      <c r="L514" s="1"/>
      <c r="M514" s="1"/>
      <c r="N514" s="1"/>
      <c r="O514" s="2"/>
      <c r="S514" s="2"/>
      <c r="T514" s="1"/>
      <c r="Z514" s="1"/>
      <c r="AA514" s="1"/>
      <c r="AB514" s="1"/>
      <c r="AC514" s="1"/>
      <c r="AD514" s="1"/>
    </row>
    <row r="515" spans="7:30">
      <c r="G515" s="1"/>
      <c r="H515" s="1"/>
      <c r="I515" s="1"/>
      <c r="J515" s="1"/>
      <c r="L515" s="1"/>
      <c r="M515" s="1"/>
      <c r="N515" s="1"/>
      <c r="O515" s="2"/>
      <c r="S515" s="2"/>
      <c r="T515" s="1"/>
      <c r="Z515" s="1"/>
      <c r="AA515" s="1"/>
      <c r="AB515" s="1"/>
      <c r="AC515" s="1"/>
      <c r="AD515" s="1"/>
    </row>
    <row r="516" spans="7:30">
      <c r="G516" s="1"/>
      <c r="H516" s="1"/>
      <c r="I516" s="1"/>
      <c r="J516" s="1"/>
      <c r="L516" s="1"/>
      <c r="M516" s="1"/>
      <c r="N516" s="1"/>
      <c r="O516" s="2"/>
      <c r="S516" s="2"/>
      <c r="T516" s="1"/>
      <c r="Z516" s="1"/>
      <c r="AA516" s="1"/>
      <c r="AB516" s="1"/>
      <c r="AC516" s="1"/>
      <c r="AD516" s="1"/>
    </row>
    <row r="517" spans="7:30">
      <c r="G517" s="1"/>
      <c r="H517" s="1"/>
      <c r="I517" s="1"/>
      <c r="J517" s="1"/>
      <c r="L517" s="1"/>
      <c r="M517" s="1"/>
      <c r="N517" s="1"/>
      <c r="O517" s="2"/>
      <c r="S517" s="2"/>
      <c r="T517" s="1"/>
      <c r="Z517" s="1"/>
      <c r="AA517" s="1"/>
      <c r="AB517" s="1"/>
      <c r="AC517" s="1"/>
      <c r="AD517" s="1"/>
    </row>
    <row r="518" spans="7:30">
      <c r="G518" s="1"/>
      <c r="H518" s="1"/>
      <c r="I518" s="1"/>
      <c r="J518" s="1"/>
      <c r="L518" s="1"/>
      <c r="M518" s="1"/>
      <c r="N518" s="1"/>
      <c r="O518" s="2"/>
      <c r="S518" s="2"/>
      <c r="T518" s="1"/>
      <c r="Z518" s="1"/>
      <c r="AA518" s="1"/>
      <c r="AB518" s="1"/>
      <c r="AC518" s="1"/>
      <c r="AD518" s="1"/>
    </row>
    <row r="519" spans="7:30">
      <c r="G519" s="1"/>
      <c r="H519" s="1"/>
      <c r="I519" s="1"/>
      <c r="J519" s="1"/>
      <c r="L519" s="1"/>
      <c r="M519" s="1"/>
      <c r="N519" s="1"/>
      <c r="O519" s="2"/>
      <c r="S519" s="2"/>
      <c r="T519" s="1"/>
      <c r="Z519" s="1"/>
      <c r="AA519" s="1"/>
      <c r="AB519" s="1"/>
      <c r="AC519" s="1"/>
      <c r="AD519" s="1"/>
    </row>
    <row r="520" spans="7:30">
      <c r="G520" s="1"/>
      <c r="H520" s="1"/>
      <c r="I520" s="1"/>
      <c r="J520" s="1"/>
      <c r="L520" s="1"/>
      <c r="M520" s="1"/>
      <c r="N520" s="1"/>
      <c r="O520" s="2"/>
      <c r="S520" s="2"/>
      <c r="T520" s="1"/>
      <c r="Z520" s="1"/>
      <c r="AA520" s="1"/>
      <c r="AB520" s="1"/>
      <c r="AC520" s="1"/>
      <c r="AD520" s="1"/>
    </row>
    <row r="521" spans="7:30">
      <c r="G521" s="1"/>
      <c r="H521" s="1"/>
      <c r="I521" s="1"/>
      <c r="J521" s="1"/>
      <c r="L521" s="1"/>
      <c r="M521" s="1"/>
      <c r="N521" s="1"/>
      <c r="O521" s="2"/>
      <c r="S521" s="2"/>
      <c r="T521" s="1"/>
      <c r="Z521" s="1"/>
      <c r="AA521" s="1"/>
      <c r="AB521" s="1"/>
      <c r="AC521" s="1"/>
      <c r="AD521" s="1"/>
    </row>
    <row r="522" spans="7:30">
      <c r="G522" s="1"/>
      <c r="H522" s="1"/>
      <c r="I522" s="1"/>
      <c r="J522" s="1"/>
      <c r="L522" s="1"/>
      <c r="M522" s="1"/>
      <c r="N522" s="1"/>
      <c r="O522" s="2"/>
      <c r="S522" s="2"/>
      <c r="T522" s="1"/>
      <c r="Z522" s="1"/>
      <c r="AA522" s="1"/>
      <c r="AB522" s="1"/>
      <c r="AC522" s="1"/>
      <c r="AD522" s="1"/>
    </row>
    <row r="523" spans="7:30">
      <c r="G523" s="1"/>
      <c r="H523" s="1"/>
      <c r="I523" s="1"/>
      <c r="J523" s="1"/>
      <c r="L523" s="1"/>
      <c r="M523" s="1"/>
      <c r="N523" s="1"/>
      <c r="O523" s="2"/>
      <c r="S523" s="2"/>
      <c r="T523" s="1"/>
      <c r="Z523" s="1"/>
      <c r="AA523" s="1"/>
      <c r="AB523" s="1"/>
      <c r="AC523" s="1"/>
      <c r="AD523" s="1"/>
    </row>
    <row r="524" spans="7:30">
      <c r="G524" s="1"/>
      <c r="H524" s="1"/>
      <c r="I524" s="1"/>
      <c r="J524" s="1"/>
      <c r="L524" s="1"/>
      <c r="M524" s="1"/>
      <c r="N524" s="1"/>
      <c r="O524" s="2"/>
      <c r="S524" s="2"/>
      <c r="T524" s="1"/>
      <c r="Z524" s="1"/>
      <c r="AA524" s="1"/>
      <c r="AB524" s="1"/>
      <c r="AC524" s="1"/>
      <c r="AD524" s="1"/>
    </row>
    <row r="525" spans="7:30">
      <c r="G525" s="1"/>
      <c r="H525" s="1"/>
      <c r="I525" s="1"/>
      <c r="J525" s="1"/>
      <c r="L525" s="1"/>
      <c r="M525" s="1"/>
      <c r="N525" s="1"/>
      <c r="O525" s="2"/>
      <c r="S525" s="2"/>
      <c r="T525" s="1"/>
      <c r="Z525" s="1"/>
      <c r="AA525" s="1"/>
      <c r="AB525" s="1"/>
      <c r="AC525" s="1"/>
      <c r="AD525" s="1"/>
    </row>
    <row r="526" spans="7:30">
      <c r="G526" s="1"/>
      <c r="H526" s="1"/>
      <c r="I526" s="1"/>
      <c r="J526" s="1"/>
      <c r="L526" s="1"/>
      <c r="M526" s="1"/>
      <c r="N526" s="1"/>
      <c r="O526" s="2"/>
      <c r="S526" s="2"/>
      <c r="T526" s="1"/>
      <c r="Z526" s="1"/>
      <c r="AA526" s="1"/>
      <c r="AB526" s="1"/>
      <c r="AC526" s="1"/>
      <c r="AD526" s="1"/>
    </row>
    <row r="527" spans="7:30">
      <c r="G527" s="1"/>
      <c r="H527" s="1"/>
      <c r="I527" s="1"/>
      <c r="J527" s="1"/>
      <c r="L527" s="1"/>
      <c r="M527" s="1"/>
      <c r="N527" s="1"/>
      <c r="O527" s="2"/>
      <c r="S527" s="2"/>
      <c r="T527" s="1"/>
      <c r="Z527" s="1"/>
      <c r="AA527" s="1"/>
      <c r="AB527" s="1"/>
      <c r="AC527" s="1"/>
      <c r="AD527" s="1"/>
    </row>
    <row r="528" spans="7:30">
      <c r="G528" s="1"/>
      <c r="H528" s="1"/>
      <c r="I528" s="1"/>
      <c r="J528" s="1"/>
      <c r="L528" s="1"/>
      <c r="M528" s="1"/>
      <c r="N528" s="1"/>
      <c r="O528" s="2"/>
      <c r="S528" s="2"/>
      <c r="T528" s="1"/>
      <c r="Z528" s="1"/>
      <c r="AA528" s="1"/>
      <c r="AB528" s="1"/>
      <c r="AC528" s="1"/>
      <c r="AD528" s="1"/>
    </row>
    <row r="529" spans="7:30">
      <c r="G529" s="1"/>
      <c r="H529" s="1"/>
      <c r="I529" s="1"/>
      <c r="J529" s="1"/>
      <c r="L529" s="1"/>
      <c r="M529" s="1"/>
      <c r="N529" s="1"/>
      <c r="O529" s="2"/>
      <c r="S529" s="2"/>
      <c r="T529" s="1"/>
      <c r="Z529" s="1"/>
      <c r="AA529" s="1"/>
      <c r="AB529" s="1"/>
      <c r="AC529" s="1"/>
      <c r="AD529" s="1"/>
    </row>
    <row r="530" spans="7:30">
      <c r="G530" s="1"/>
      <c r="H530" s="1"/>
      <c r="I530" s="1"/>
      <c r="J530" s="1"/>
      <c r="L530" s="1"/>
      <c r="M530" s="1"/>
      <c r="N530" s="1"/>
      <c r="O530" s="2"/>
      <c r="S530" s="2"/>
      <c r="T530" s="1"/>
      <c r="Z530" s="1"/>
      <c r="AA530" s="1"/>
      <c r="AB530" s="1"/>
      <c r="AC530" s="1"/>
      <c r="AD530" s="1"/>
    </row>
    <row r="531" spans="7:30">
      <c r="G531" s="1"/>
      <c r="H531" s="1"/>
      <c r="I531" s="1"/>
      <c r="J531" s="1"/>
      <c r="L531" s="1"/>
      <c r="M531" s="1"/>
      <c r="N531" s="1"/>
      <c r="O531" s="2"/>
      <c r="S531" s="2"/>
      <c r="T531" s="1"/>
      <c r="Z531" s="1"/>
      <c r="AA531" s="1"/>
      <c r="AB531" s="1"/>
      <c r="AC531" s="1"/>
      <c r="AD531" s="1"/>
    </row>
    <row r="532" spans="7:30">
      <c r="G532" s="1"/>
      <c r="H532" s="1"/>
      <c r="I532" s="1"/>
      <c r="J532" s="1"/>
      <c r="L532" s="1"/>
      <c r="M532" s="1"/>
      <c r="N532" s="1"/>
      <c r="O532" s="2"/>
      <c r="S532" s="2"/>
      <c r="T532" s="1"/>
      <c r="Z532" s="1"/>
      <c r="AA532" s="1"/>
      <c r="AB532" s="1"/>
      <c r="AC532" s="1"/>
      <c r="AD532" s="1"/>
    </row>
    <row r="533" spans="7:30">
      <c r="G533" s="1"/>
      <c r="H533" s="1"/>
      <c r="I533" s="1"/>
      <c r="J533" s="1"/>
      <c r="L533" s="1"/>
      <c r="M533" s="1"/>
      <c r="N533" s="1"/>
      <c r="O533" s="2"/>
      <c r="S533" s="2"/>
      <c r="T533" s="1"/>
      <c r="Z533" s="1"/>
      <c r="AA533" s="1"/>
      <c r="AB533" s="1"/>
      <c r="AC533" s="1"/>
      <c r="AD533" s="1"/>
    </row>
    <row r="534" spans="7:30">
      <c r="G534" s="1"/>
      <c r="H534" s="1"/>
      <c r="I534" s="1"/>
      <c r="J534" s="1"/>
      <c r="L534" s="1"/>
      <c r="M534" s="1"/>
      <c r="N534" s="1"/>
      <c r="O534" s="2"/>
      <c r="S534" s="2"/>
      <c r="T534" s="1"/>
      <c r="Z534" s="1"/>
      <c r="AA534" s="1"/>
      <c r="AB534" s="1"/>
      <c r="AC534" s="1"/>
      <c r="AD534" s="1"/>
    </row>
    <row r="535" spans="7:30">
      <c r="G535" s="1"/>
      <c r="H535" s="1"/>
      <c r="I535" s="1"/>
      <c r="J535" s="1"/>
      <c r="L535" s="1"/>
      <c r="M535" s="1"/>
      <c r="N535" s="1"/>
      <c r="O535" s="2"/>
      <c r="S535" s="2"/>
      <c r="T535" s="1"/>
      <c r="Z535" s="1"/>
      <c r="AA535" s="1"/>
      <c r="AB535" s="1"/>
      <c r="AC535" s="1"/>
      <c r="AD535" s="1"/>
    </row>
    <row r="536" spans="7:30">
      <c r="G536" s="1"/>
      <c r="H536" s="1"/>
      <c r="I536" s="1"/>
      <c r="J536" s="1"/>
      <c r="L536" s="1"/>
      <c r="M536" s="1"/>
      <c r="N536" s="1"/>
      <c r="O536" s="2"/>
      <c r="S536" s="2"/>
      <c r="T536" s="1"/>
      <c r="Z536" s="1"/>
      <c r="AA536" s="1"/>
      <c r="AB536" s="1"/>
      <c r="AC536" s="1"/>
      <c r="AD536" s="1"/>
    </row>
    <row r="537" spans="7:30">
      <c r="G537" s="1"/>
      <c r="H537" s="1"/>
      <c r="I537" s="1"/>
      <c r="J537" s="1"/>
      <c r="L537" s="1"/>
      <c r="M537" s="1"/>
      <c r="N537" s="1"/>
      <c r="O537" s="2"/>
      <c r="S537" s="2"/>
      <c r="T537" s="1"/>
      <c r="Z537" s="1"/>
      <c r="AA537" s="1"/>
      <c r="AB537" s="1"/>
      <c r="AC537" s="1"/>
      <c r="AD537" s="1"/>
    </row>
    <row r="538" spans="7:30">
      <c r="G538" s="1"/>
      <c r="H538" s="1"/>
      <c r="I538" s="1"/>
      <c r="J538" s="1"/>
      <c r="L538" s="1"/>
      <c r="M538" s="1"/>
      <c r="N538" s="1"/>
      <c r="O538" s="2"/>
      <c r="S538" s="2"/>
      <c r="T538" s="1"/>
      <c r="Z538" s="1"/>
      <c r="AA538" s="1"/>
      <c r="AB538" s="1"/>
      <c r="AC538" s="1"/>
      <c r="AD538" s="1"/>
    </row>
    <row r="539" spans="7:30">
      <c r="G539" s="1"/>
      <c r="H539" s="1"/>
      <c r="I539" s="1"/>
      <c r="J539" s="1"/>
      <c r="L539" s="1"/>
      <c r="M539" s="1"/>
      <c r="N539" s="1"/>
      <c r="O539" s="2"/>
      <c r="S539" s="2"/>
      <c r="T539" s="1"/>
      <c r="Z539" s="1"/>
      <c r="AA539" s="1"/>
      <c r="AB539" s="1"/>
      <c r="AC539" s="1"/>
      <c r="AD539" s="1"/>
    </row>
    <row r="540" spans="7:30">
      <c r="G540" s="1"/>
      <c r="H540" s="1"/>
      <c r="I540" s="1"/>
      <c r="J540" s="1"/>
      <c r="L540" s="1"/>
      <c r="M540" s="1"/>
      <c r="N540" s="1"/>
      <c r="O540" s="2"/>
      <c r="S540" s="2"/>
      <c r="T540" s="1"/>
      <c r="Z540" s="1"/>
      <c r="AA540" s="1"/>
      <c r="AB540" s="1"/>
      <c r="AC540" s="1"/>
      <c r="AD540" s="1"/>
    </row>
    <row r="541" spans="7:30">
      <c r="G541" s="1"/>
      <c r="H541" s="1"/>
      <c r="I541" s="1"/>
      <c r="J541" s="1"/>
      <c r="L541" s="1"/>
      <c r="M541" s="1"/>
      <c r="N541" s="1"/>
      <c r="O541" s="2"/>
      <c r="S541" s="2"/>
      <c r="T541" s="1"/>
      <c r="Z541" s="1"/>
      <c r="AA541" s="1"/>
      <c r="AB541" s="1"/>
      <c r="AC541" s="1"/>
      <c r="AD541" s="1"/>
    </row>
    <row r="542" spans="7:30">
      <c r="G542" s="1"/>
      <c r="H542" s="1"/>
      <c r="I542" s="1"/>
      <c r="J542" s="1"/>
      <c r="L542" s="1"/>
      <c r="M542" s="1"/>
      <c r="N542" s="1"/>
      <c r="O542" s="2"/>
      <c r="S542" s="2"/>
      <c r="T542" s="1"/>
      <c r="Z542" s="1"/>
      <c r="AA542" s="1"/>
      <c r="AB542" s="1"/>
      <c r="AC542" s="1"/>
      <c r="AD542" s="1"/>
    </row>
    <row r="543" spans="7:30">
      <c r="G543" s="1"/>
      <c r="H543" s="1"/>
      <c r="I543" s="1"/>
      <c r="J543" s="1"/>
      <c r="L543" s="1"/>
      <c r="M543" s="1"/>
      <c r="N543" s="1"/>
      <c r="O543" s="2"/>
      <c r="S543" s="2"/>
      <c r="T543" s="1"/>
      <c r="Z543" s="1"/>
      <c r="AA543" s="1"/>
      <c r="AB543" s="1"/>
      <c r="AC543" s="1"/>
      <c r="AD543" s="1"/>
    </row>
    <row r="544" spans="7:30">
      <c r="G544" s="1"/>
      <c r="H544" s="1"/>
      <c r="I544" s="1"/>
      <c r="J544" s="1"/>
      <c r="L544" s="1"/>
      <c r="M544" s="1"/>
      <c r="N544" s="1"/>
      <c r="O544" s="2"/>
      <c r="S544" s="2"/>
      <c r="T544" s="1"/>
      <c r="Z544" s="1"/>
      <c r="AA544" s="1"/>
      <c r="AB544" s="1"/>
      <c r="AC544" s="1"/>
      <c r="AD544" s="1"/>
    </row>
    <row r="545" spans="7:30">
      <c r="G545" s="1"/>
      <c r="H545" s="1"/>
      <c r="I545" s="1"/>
      <c r="J545" s="1"/>
      <c r="L545" s="1"/>
      <c r="M545" s="1"/>
      <c r="N545" s="1"/>
      <c r="O545" s="2"/>
      <c r="S545" s="2"/>
      <c r="T545" s="1"/>
      <c r="Z545" s="1"/>
      <c r="AA545" s="1"/>
      <c r="AB545" s="1"/>
      <c r="AC545" s="1"/>
      <c r="AD545" s="1"/>
    </row>
    <row r="546" spans="7:30">
      <c r="G546" s="1"/>
      <c r="H546" s="1"/>
      <c r="I546" s="1"/>
      <c r="J546" s="1"/>
      <c r="L546" s="1"/>
      <c r="M546" s="1"/>
      <c r="N546" s="1"/>
      <c r="O546" s="2"/>
      <c r="S546" s="2"/>
      <c r="T546" s="1"/>
      <c r="Z546" s="1"/>
      <c r="AA546" s="1"/>
      <c r="AB546" s="1"/>
      <c r="AC546" s="1"/>
      <c r="AD546" s="1"/>
    </row>
    <row r="547" spans="7:30">
      <c r="G547" s="1"/>
      <c r="H547" s="1"/>
      <c r="I547" s="1"/>
      <c r="J547" s="1"/>
      <c r="L547" s="1"/>
      <c r="M547" s="1"/>
      <c r="N547" s="1"/>
      <c r="O547" s="2"/>
      <c r="S547" s="2"/>
      <c r="T547" s="1"/>
      <c r="Z547" s="1"/>
      <c r="AA547" s="1"/>
      <c r="AB547" s="1"/>
      <c r="AC547" s="1"/>
      <c r="AD547" s="1"/>
    </row>
    <row r="548" spans="7:30">
      <c r="G548" s="1"/>
      <c r="H548" s="1"/>
      <c r="I548" s="1"/>
      <c r="J548" s="1"/>
      <c r="L548" s="1"/>
      <c r="M548" s="1"/>
      <c r="N548" s="1"/>
      <c r="O548" s="2"/>
      <c r="S548" s="2"/>
      <c r="T548" s="1"/>
      <c r="Z548" s="1"/>
      <c r="AA548" s="1"/>
      <c r="AB548" s="1"/>
      <c r="AC548" s="1"/>
      <c r="AD548" s="1"/>
    </row>
    <row r="549" spans="7:30">
      <c r="G549" s="1"/>
      <c r="H549" s="1"/>
      <c r="I549" s="1"/>
      <c r="J549" s="1"/>
      <c r="L549" s="1"/>
      <c r="M549" s="1"/>
      <c r="N549" s="1"/>
      <c r="O549" s="2"/>
      <c r="S549" s="2"/>
      <c r="T549" s="1"/>
      <c r="Z549" s="1"/>
      <c r="AA549" s="1"/>
      <c r="AB549" s="1"/>
      <c r="AC549" s="1"/>
      <c r="AD549" s="1"/>
    </row>
    <row r="550" spans="7:30">
      <c r="G550" s="1"/>
      <c r="H550" s="1"/>
      <c r="I550" s="1"/>
      <c r="J550" s="1"/>
      <c r="L550" s="1"/>
      <c r="M550" s="1"/>
      <c r="N550" s="1"/>
      <c r="O550" s="2"/>
      <c r="S550" s="2"/>
      <c r="T550" s="1"/>
      <c r="Z550" s="1"/>
      <c r="AA550" s="1"/>
      <c r="AB550" s="1"/>
      <c r="AC550" s="1"/>
      <c r="AD550" s="1"/>
    </row>
    <row r="551" spans="7:30">
      <c r="G551" s="1"/>
      <c r="H551" s="1"/>
      <c r="I551" s="1"/>
      <c r="J551" s="1"/>
      <c r="L551" s="1"/>
      <c r="M551" s="1"/>
      <c r="N551" s="1"/>
      <c r="O551" s="2"/>
      <c r="S551" s="2"/>
      <c r="T551" s="1"/>
      <c r="Z551" s="1"/>
      <c r="AA551" s="1"/>
      <c r="AB551" s="1"/>
      <c r="AC551" s="1"/>
      <c r="AD551" s="1"/>
    </row>
    <row r="552" spans="7:30">
      <c r="G552" s="1"/>
      <c r="H552" s="1"/>
      <c r="I552" s="1"/>
      <c r="J552" s="1"/>
      <c r="L552" s="1"/>
      <c r="M552" s="1"/>
      <c r="N552" s="1"/>
      <c r="O552" s="2"/>
      <c r="S552" s="2"/>
      <c r="T552" s="1"/>
      <c r="Z552" s="1"/>
      <c r="AA552" s="1"/>
      <c r="AB552" s="1"/>
      <c r="AC552" s="1"/>
      <c r="AD552" s="1"/>
    </row>
    <row r="553" spans="7:30">
      <c r="G553" s="1"/>
      <c r="H553" s="1"/>
      <c r="I553" s="1"/>
      <c r="J553" s="1"/>
      <c r="L553" s="1"/>
      <c r="M553" s="1"/>
      <c r="N553" s="1"/>
      <c r="O553" s="2"/>
      <c r="S553" s="2"/>
      <c r="T553" s="1"/>
      <c r="Z553" s="1"/>
      <c r="AA553" s="1"/>
      <c r="AB553" s="1"/>
      <c r="AC553" s="1"/>
      <c r="AD553" s="1"/>
    </row>
    <row r="554" spans="7:30">
      <c r="G554" s="1"/>
      <c r="H554" s="1"/>
      <c r="I554" s="1"/>
      <c r="J554" s="1"/>
      <c r="L554" s="1"/>
      <c r="M554" s="1"/>
      <c r="N554" s="1"/>
      <c r="O554" s="2"/>
      <c r="S554" s="2"/>
      <c r="T554" s="1"/>
      <c r="Z554" s="1"/>
      <c r="AA554" s="1"/>
      <c r="AB554" s="1"/>
      <c r="AC554" s="1"/>
      <c r="AD554" s="1"/>
    </row>
    <row r="555" spans="7:30">
      <c r="G555" s="1"/>
      <c r="H555" s="1"/>
      <c r="I555" s="1"/>
      <c r="J555" s="1"/>
      <c r="L555" s="1"/>
      <c r="M555" s="1"/>
      <c r="N555" s="1"/>
      <c r="O555" s="2"/>
      <c r="S555" s="2"/>
      <c r="T555" s="1"/>
      <c r="Z555" s="1"/>
      <c r="AA555" s="1"/>
      <c r="AB555" s="1"/>
      <c r="AC555" s="1"/>
      <c r="AD555" s="1"/>
    </row>
    <row r="556" spans="7:30">
      <c r="G556" s="1"/>
      <c r="H556" s="1"/>
      <c r="I556" s="1"/>
      <c r="J556" s="1"/>
      <c r="L556" s="1"/>
      <c r="M556" s="1"/>
      <c r="N556" s="1"/>
      <c r="O556" s="2"/>
      <c r="S556" s="2"/>
      <c r="T556" s="1"/>
      <c r="Z556" s="1"/>
      <c r="AA556" s="1"/>
      <c r="AB556" s="1"/>
      <c r="AC556" s="1"/>
      <c r="AD556" s="1"/>
    </row>
    <row r="557" spans="7:30">
      <c r="G557" s="1"/>
      <c r="H557" s="1"/>
      <c r="I557" s="1"/>
      <c r="J557" s="1"/>
      <c r="L557" s="1"/>
      <c r="M557" s="1"/>
      <c r="N557" s="1"/>
      <c r="O557" s="2"/>
      <c r="S557" s="2"/>
      <c r="T557" s="1"/>
      <c r="Z557" s="1"/>
      <c r="AA557" s="1"/>
      <c r="AB557" s="1"/>
      <c r="AC557" s="1"/>
      <c r="AD557" s="1"/>
    </row>
    <row r="558" spans="7:30">
      <c r="G558" s="1"/>
      <c r="H558" s="1"/>
      <c r="I558" s="1"/>
      <c r="J558" s="1"/>
      <c r="L558" s="1"/>
      <c r="M558" s="1"/>
      <c r="N558" s="1"/>
      <c r="O558" s="2"/>
      <c r="S558" s="2"/>
      <c r="T558" s="1"/>
      <c r="Z558" s="1"/>
      <c r="AA558" s="1"/>
      <c r="AB558" s="1"/>
      <c r="AC558" s="1"/>
      <c r="AD558" s="1"/>
    </row>
    <row r="559" spans="7:30">
      <c r="G559" s="1"/>
      <c r="H559" s="1"/>
      <c r="I559" s="1"/>
      <c r="J559" s="1"/>
      <c r="L559" s="1"/>
      <c r="M559" s="1"/>
      <c r="N559" s="1"/>
      <c r="O559" s="2"/>
      <c r="S559" s="2"/>
      <c r="T559" s="1"/>
      <c r="Z559" s="1"/>
      <c r="AA559" s="1"/>
      <c r="AB559" s="1"/>
      <c r="AC559" s="1"/>
      <c r="AD559" s="1"/>
    </row>
    <row r="560" spans="7:30">
      <c r="G560" s="1"/>
      <c r="H560" s="1"/>
      <c r="I560" s="1"/>
      <c r="J560" s="1"/>
      <c r="L560" s="1"/>
      <c r="M560" s="1"/>
      <c r="N560" s="1"/>
      <c r="O560" s="2"/>
      <c r="S560" s="2"/>
      <c r="T560" s="1"/>
      <c r="Z560" s="1"/>
      <c r="AA560" s="1"/>
      <c r="AB560" s="1"/>
      <c r="AC560" s="1"/>
      <c r="AD560" s="1"/>
    </row>
    <row r="561" spans="7:30">
      <c r="G561" s="1"/>
      <c r="H561" s="1"/>
      <c r="I561" s="1"/>
      <c r="J561" s="1"/>
      <c r="L561" s="1"/>
      <c r="M561" s="1"/>
      <c r="N561" s="1"/>
      <c r="O561" s="2"/>
      <c r="S561" s="2"/>
      <c r="T561" s="1"/>
      <c r="Z561" s="1"/>
      <c r="AA561" s="1"/>
      <c r="AB561" s="1"/>
      <c r="AC561" s="1"/>
      <c r="AD561" s="1"/>
    </row>
    <row r="562" spans="7:30">
      <c r="G562" s="1"/>
      <c r="H562" s="1"/>
      <c r="I562" s="1"/>
      <c r="J562" s="1"/>
      <c r="L562" s="1"/>
      <c r="M562" s="1"/>
      <c r="N562" s="1"/>
      <c r="O562" s="2"/>
      <c r="S562" s="2"/>
      <c r="T562" s="1"/>
      <c r="Z562" s="1"/>
      <c r="AA562" s="1"/>
      <c r="AB562" s="1"/>
      <c r="AC562" s="1"/>
      <c r="AD562" s="1"/>
    </row>
    <row r="563" spans="7:30">
      <c r="G563" s="1"/>
      <c r="H563" s="1"/>
      <c r="I563" s="1"/>
      <c r="J563" s="1"/>
      <c r="L563" s="1"/>
      <c r="M563" s="1"/>
      <c r="N563" s="1"/>
      <c r="O563" s="2"/>
      <c r="S563" s="2"/>
      <c r="T563" s="1"/>
      <c r="Z563" s="1"/>
      <c r="AA563" s="1"/>
      <c r="AB563" s="1"/>
      <c r="AC563" s="1"/>
      <c r="AD563" s="1"/>
    </row>
    <row r="564" spans="7:30">
      <c r="G564" s="1"/>
      <c r="H564" s="1"/>
      <c r="I564" s="1"/>
      <c r="J564" s="1"/>
      <c r="L564" s="1"/>
      <c r="M564" s="1"/>
      <c r="N564" s="1"/>
      <c r="O564" s="2"/>
      <c r="S564" s="2"/>
      <c r="T564" s="1"/>
      <c r="Z564" s="1"/>
      <c r="AA564" s="1"/>
      <c r="AB564" s="1"/>
      <c r="AC564" s="1"/>
      <c r="AD564" s="1"/>
    </row>
    <row r="565" spans="7:30">
      <c r="G565" s="1"/>
      <c r="H565" s="1"/>
      <c r="I565" s="1"/>
      <c r="J565" s="1"/>
      <c r="L565" s="1"/>
      <c r="M565" s="1"/>
      <c r="N565" s="1"/>
      <c r="O565" s="2"/>
      <c r="S565" s="2"/>
      <c r="T565" s="1"/>
      <c r="Z565" s="1"/>
      <c r="AA565" s="1"/>
      <c r="AB565" s="1"/>
      <c r="AC565" s="1"/>
      <c r="AD565" s="1"/>
    </row>
    <row r="566" spans="7:30">
      <c r="G566" s="1"/>
      <c r="H566" s="1"/>
      <c r="I566" s="1"/>
      <c r="J566" s="1"/>
      <c r="L566" s="1"/>
      <c r="M566" s="1"/>
      <c r="N566" s="1"/>
      <c r="O566" s="2"/>
      <c r="S566" s="2"/>
      <c r="T566" s="1"/>
      <c r="Z566" s="1"/>
      <c r="AA566" s="1"/>
      <c r="AB566" s="1"/>
      <c r="AC566" s="1"/>
      <c r="AD566" s="1"/>
    </row>
    <row r="567" spans="7:30">
      <c r="G567" s="1"/>
      <c r="H567" s="1"/>
      <c r="I567" s="1"/>
      <c r="J567" s="1"/>
      <c r="L567" s="1"/>
      <c r="M567" s="1"/>
      <c r="N567" s="1"/>
      <c r="O567" s="2"/>
      <c r="S567" s="2"/>
      <c r="T567" s="1"/>
      <c r="Z567" s="1"/>
      <c r="AA567" s="1"/>
      <c r="AB567" s="1"/>
      <c r="AC567" s="1"/>
      <c r="AD567" s="1"/>
    </row>
    <row r="568" spans="7:30">
      <c r="G568" s="1"/>
      <c r="H568" s="1"/>
      <c r="I568" s="1"/>
      <c r="J568" s="1"/>
      <c r="L568" s="1"/>
      <c r="M568" s="1"/>
      <c r="N568" s="1"/>
      <c r="O568" s="2"/>
      <c r="S568" s="2"/>
      <c r="T568" s="1"/>
      <c r="Z568" s="1"/>
      <c r="AA568" s="1"/>
      <c r="AB568" s="1"/>
      <c r="AC568" s="1"/>
      <c r="AD568" s="1"/>
    </row>
    <row r="569" spans="7:30">
      <c r="G569" s="1"/>
      <c r="H569" s="1"/>
      <c r="I569" s="1"/>
      <c r="J569" s="1"/>
      <c r="L569" s="1"/>
      <c r="M569" s="1"/>
      <c r="N569" s="1"/>
      <c r="O569" s="2"/>
      <c r="S569" s="2"/>
      <c r="T569" s="1"/>
      <c r="Z569" s="1"/>
      <c r="AA569" s="1"/>
      <c r="AB569" s="1"/>
      <c r="AC569" s="1"/>
      <c r="AD569" s="1"/>
    </row>
    <row r="570" spans="7:30">
      <c r="G570" s="1"/>
      <c r="H570" s="1"/>
      <c r="I570" s="1"/>
      <c r="J570" s="1"/>
      <c r="L570" s="1"/>
      <c r="M570" s="1"/>
      <c r="N570" s="1"/>
      <c r="O570" s="2"/>
      <c r="S570" s="2"/>
      <c r="T570" s="1"/>
      <c r="Z570" s="1"/>
      <c r="AA570" s="1"/>
      <c r="AB570" s="1"/>
      <c r="AC570" s="1"/>
      <c r="AD570" s="1"/>
    </row>
    <row r="571" spans="7:30">
      <c r="G571" s="1"/>
      <c r="H571" s="1"/>
      <c r="I571" s="1"/>
      <c r="J571" s="1"/>
      <c r="L571" s="1"/>
      <c r="M571" s="1"/>
      <c r="N571" s="1"/>
      <c r="O571" s="2"/>
      <c r="S571" s="2"/>
      <c r="T571" s="1"/>
      <c r="Z571" s="1"/>
      <c r="AA571" s="1"/>
      <c r="AB571" s="1"/>
      <c r="AC571" s="1"/>
      <c r="AD571" s="1"/>
    </row>
    <row r="572" spans="7:30">
      <c r="G572" s="1"/>
      <c r="H572" s="1"/>
      <c r="I572" s="1"/>
      <c r="J572" s="1"/>
      <c r="L572" s="1"/>
      <c r="M572" s="1"/>
      <c r="N572" s="1"/>
      <c r="O572" s="2"/>
      <c r="S572" s="2"/>
      <c r="T572" s="1"/>
      <c r="Z572" s="1"/>
      <c r="AA572" s="1"/>
      <c r="AB572" s="1"/>
      <c r="AC572" s="1"/>
      <c r="AD572" s="1"/>
    </row>
    <row r="573" spans="7:30">
      <c r="G573" s="1"/>
      <c r="H573" s="1"/>
      <c r="I573" s="1"/>
      <c r="J573" s="1"/>
      <c r="L573" s="1"/>
      <c r="M573" s="1"/>
      <c r="N573" s="1"/>
      <c r="O573" s="2"/>
      <c r="S573" s="2"/>
      <c r="T573" s="1"/>
      <c r="Z573" s="1"/>
      <c r="AA573" s="1"/>
      <c r="AB573" s="1"/>
      <c r="AC573" s="1"/>
      <c r="AD573" s="1"/>
    </row>
    <row r="574" spans="7:30">
      <c r="G574" s="1"/>
      <c r="H574" s="1"/>
      <c r="I574" s="1"/>
      <c r="J574" s="1"/>
      <c r="L574" s="1"/>
      <c r="M574" s="1"/>
      <c r="N574" s="1"/>
      <c r="O574" s="2"/>
      <c r="S574" s="2"/>
      <c r="T574" s="1"/>
      <c r="Z574" s="1"/>
      <c r="AA574" s="1"/>
      <c r="AB574" s="1"/>
      <c r="AC574" s="1"/>
      <c r="AD574" s="1"/>
    </row>
    <row r="575" spans="7:30">
      <c r="G575" s="1"/>
      <c r="H575" s="1"/>
      <c r="I575" s="1"/>
      <c r="J575" s="1"/>
      <c r="L575" s="1"/>
      <c r="M575" s="1"/>
      <c r="N575" s="1"/>
      <c r="O575" s="2"/>
      <c r="S575" s="2"/>
      <c r="T575" s="1"/>
      <c r="Z575" s="1"/>
      <c r="AA575" s="1"/>
      <c r="AB575" s="1"/>
      <c r="AC575" s="1"/>
      <c r="AD575" s="1"/>
    </row>
    <row r="576" spans="7:30">
      <c r="G576" s="1"/>
      <c r="H576" s="1"/>
      <c r="I576" s="1"/>
      <c r="J576" s="1"/>
      <c r="L576" s="1"/>
      <c r="M576" s="1"/>
      <c r="N576" s="1"/>
      <c r="O576" s="2"/>
      <c r="S576" s="2"/>
      <c r="T576" s="1"/>
      <c r="Z576" s="1"/>
      <c r="AA576" s="1"/>
      <c r="AB576" s="1"/>
      <c r="AC576" s="1"/>
      <c r="AD576" s="1"/>
    </row>
    <row r="577" spans="7:30">
      <c r="G577" s="1"/>
      <c r="H577" s="1"/>
      <c r="I577" s="1"/>
      <c r="J577" s="1"/>
      <c r="L577" s="1"/>
      <c r="M577" s="1"/>
      <c r="N577" s="1"/>
      <c r="O577" s="2"/>
      <c r="S577" s="2"/>
      <c r="T577" s="1"/>
      <c r="Z577" s="1"/>
      <c r="AA577" s="1"/>
      <c r="AB577" s="1"/>
      <c r="AC577" s="1"/>
      <c r="AD577" s="1"/>
    </row>
    <row r="578" spans="7:30">
      <c r="G578" s="1"/>
      <c r="H578" s="1"/>
      <c r="I578" s="1"/>
      <c r="J578" s="1"/>
      <c r="L578" s="1"/>
      <c r="M578" s="1"/>
      <c r="N578" s="1"/>
      <c r="O578" s="2"/>
      <c r="S578" s="2"/>
      <c r="T578" s="1"/>
      <c r="Z578" s="1"/>
      <c r="AA578" s="1"/>
      <c r="AB578" s="1"/>
      <c r="AC578" s="1"/>
      <c r="AD578" s="1"/>
    </row>
    <row r="579" spans="7:30">
      <c r="G579" s="1"/>
      <c r="H579" s="1"/>
      <c r="I579" s="1"/>
      <c r="J579" s="1"/>
      <c r="L579" s="1"/>
      <c r="M579" s="1"/>
      <c r="N579" s="1"/>
      <c r="O579" s="2"/>
      <c r="S579" s="2"/>
      <c r="T579" s="1"/>
      <c r="Z579" s="1"/>
      <c r="AA579" s="1"/>
      <c r="AB579" s="1"/>
      <c r="AC579" s="1"/>
      <c r="AD579" s="1"/>
    </row>
    <row r="580" spans="7:30">
      <c r="G580" s="1"/>
      <c r="H580" s="1"/>
      <c r="I580" s="1"/>
      <c r="J580" s="1"/>
      <c r="L580" s="1"/>
      <c r="M580" s="1"/>
      <c r="N580" s="1"/>
      <c r="O580" s="2"/>
      <c r="S580" s="2"/>
      <c r="T580" s="1"/>
      <c r="Z580" s="1"/>
      <c r="AA580" s="1"/>
      <c r="AB580" s="1"/>
      <c r="AC580" s="1"/>
      <c r="AD580" s="1"/>
    </row>
    <row r="581" spans="7:30">
      <c r="G581" s="1"/>
      <c r="H581" s="1"/>
      <c r="I581" s="1"/>
      <c r="J581" s="1"/>
      <c r="L581" s="1"/>
      <c r="M581" s="1"/>
      <c r="N581" s="1"/>
      <c r="O581" s="2"/>
      <c r="S581" s="2"/>
      <c r="T581" s="1"/>
      <c r="Z581" s="1"/>
      <c r="AA581" s="1"/>
      <c r="AB581" s="1"/>
      <c r="AC581" s="1"/>
      <c r="AD581" s="1"/>
    </row>
    <row r="582" spans="7:30">
      <c r="G582" s="1"/>
      <c r="H582" s="1"/>
      <c r="I582" s="1"/>
      <c r="J582" s="1"/>
      <c r="L582" s="1"/>
      <c r="M582" s="1"/>
      <c r="N582" s="1"/>
      <c r="O582" s="2"/>
      <c r="S582" s="2"/>
      <c r="T582" s="1"/>
      <c r="Z582" s="1"/>
      <c r="AA582" s="1"/>
      <c r="AB582" s="1"/>
      <c r="AC582" s="1"/>
      <c r="AD582" s="1"/>
    </row>
    <row r="583" spans="7:30">
      <c r="G583" s="1"/>
      <c r="H583" s="1"/>
      <c r="I583" s="1"/>
      <c r="J583" s="1"/>
      <c r="L583" s="1"/>
      <c r="M583" s="1"/>
      <c r="N583" s="1"/>
      <c r="O583" s="2"/>
      <c r="S583" s="2"/>
      <c r="T583" s="1"/>
      <c r="Z583" s="1"/>
      <c r="AA583" s="1"/>
      <c r="AB583" s="1"/>
      <c r="AC583" s="1"/>
      <c r="AD583" s="1"/>
    </row>
    <row r="584" spans="7:30">
      <c r="G584" s="1"/>
      <c r="H584" s="1"/>
      <c r="I584" s="1"/>
      <c r="J584" s="1"/>
      <c r="L584" s="1"/>
      <c r="M584" s="1"/>
      <c r="N584" s="1"/>
      <c r="O584" s="2"/>
      <c r="S584" s="2"/>
      <c r="T584" s="1"/>
      <c r="Z584" s="1"/>
      <c r="AA584" s="1"/>
      <c r="AB584" s="1"/>
      <c r="AC584" s="1"/>
      <c r="AD584" s="1"/>
    </row>
    <row r="585" spans="7:30">
      <c r="G585" s="1"/>
      <c r="H585" s="1"/>
      <c r="I585" s="1"/>
      <c r="J585" s="1"/>
      <c r="L585" s="1"/>
      <c r="M585" s="1"/>
      <c r="N585" s="1"/>
      <c r="O585" s="2"/>
      <c r="S585" s="2"/>
      <c r="T585" s="1"/>
      <c r="Z585" s="1"/>
      <c r="AA585" s="1"/>
      <c r="AB585" s="1"/>
      <c r="AC585" s="1"/>
      <c r="AD585" s="1"/>
    </row>
    <row r="586" spans="7:30">
      <c r="G586" s="1"/>
      <c r="H586" s="1"/>
      <c r="I586" s="1"/>
      <c r="J586" s="1"/>
      <c r="L586" s="1"/>
      <c r="M586" s="1"/>
      <c r="N586" s="1"/>
      <c r="O586" s="2"/>
      <c r="S586" s="2"/>
      <c r="T586" s="1"/>
      <c r="Z586" s="1"/>
      <c r="AA586" s="1"/>
      <c r="AB586" s="1"/>
      <c r="AC586" s="1"/>
      <c r="AD586" s="1"/>
    </row>
    <row r="587" spans="7:30">
      <c r="G587" s="1"/>
      <c r="H587" s="1"/>
      <c r="I587" s="1"/>
      <c r="J587" s="1"/>
      <c r="L587" s="1"/>
      <c r="M587" s="1"/>
      <c r="N587" s="1"/>
      <c r="O587" s="2"/>
      <c r="S587" s="2"/>
      <c r="T587" s="1"/>
      <c r="Z587" s="1"/>
      <c r="AA587" s="1"/>
      <c r="AB587" s="1"/>
      <c r="AC587" s="1"/>
      <c r="AD587" s="1"/>
    </row>
    <row r="588" spans="7:30">
      <c r="G588" s="1"/>
      <c r="H588" s="1"/>
      <c r="I588" s="1"/>
      <c r="J588" s="1"/>
      <c r="L588" s="1"/>
      <c r="M588" s="1"/>
      <c r="N588" s="1"/>
      <c r="O588" s="2"/>
      <c r="S588" s="2"/>
      <c r="T588" s="1"/>
      <c r="Z588" s="1"/>
      <c r="AA588" s="1"/>
      <c r="AB588" s="1"/>
      <c r="AC588" s="1"/>
      <c r="AD588" s="1"/>
    </row>
    <row r="589" spans="7:30">
      <c r="G589" s="1"/>
      <c r="H589" s="1"/>
      <c r="I589" s="1"/>
      <c r="J589" s="1"/>
      <c r="L589" s="1"/>
      <c r="M589" s="1"/>
      <c r="N589" s="1"/>
      <c r="O589" s="2"/>
      <c r="S589" s="2"/>
      <c r="T589" s="1"/>
      <c r="Z589" s="1"/>
      <c r="AA589" s="1"/>
      <c r="AB589" s="1"/>
      <c r="AC589" s="1"/>
      <c r="AD589" s="1"/>
    </row>
    <row r="590" spans="7:30">
      <c r="G590" s="1"/>
      <c r="H590" s="1"/>
      <c r="I590" s="1"/>
      <c r="J590" s="1"/>
      <c r="L590" s="1"/>
      <c r="M590" s="1"/>
      <c r="N590" s="1"/>
      <c r="O590" s="2"/>
      <c r="S590" s="2"/>
      <c r="T590" s="1"/>
      <c r="Z590" s="1"/>
      <c r="AA590" s="1"/>
      <c r="AB590" s="1"/>
      <c r="AC590" s="1"/>
      <c r="AD590" s="1"/>
    </row>
    <row r="591" spans="7:30">
      <c r="G591" s="1"/>
      <c r="H591" s="1"/>
      <c r="I591" s="1"/>
      <c r="J591" s="1"/>
      <c r="L591" s="1"/>
      <c r="M591" s="1"/>
      <c r="N591" s="1"/>
      <c r="O591" s="2"/>
      <c r="S591" s="2"/>
      <c r="T591" s="1"/>
      <c r="Z591" s="1"/>
      <c r="AA591" s="1"/>
      <c r="AB591" s="1"/>
      <c r="AC591" s="1"/>
      <c r="AD591" s="1"/>
    </row>
    <row r="592" spans="7:30">
      <c r="G592" s="1"/>
      <c r="H592" s="1"/>
      <c r="I592" s="1"/>
      <c r="J592" s="1"/>
      <c r="L592" s="1"/>
      <c r="M592" s="1"/>
      <c r="N592" s="1"/>
      <c r="O592" s="2"/>
      <c r="S592" s="2"/>
      <c r="T592" s="1"/>
      <c r="Z592" s="1"/>
      <c r="AA592" s="1"/>
      <c r="AB592" s="1"/>
      <c r="AC592" s="1"/>
      <c r="AD592" s="1"/>
    </row>
    <row r="593" spans="7:30">
      <c r="G593" s="1"/>
      <c r="H593" s="1"/>
      <c r="I593" s="1"/>
      <c r="J593" s="1"/>
      <c r="L593" s="1"/>
      <c r="M593" s="1"/>
      <c r="N593" s="1"/>
      <c r="O593" s="2"/>
      <c r="S593" s="2"/>
      <c r="T593" s="1"/>
      <c r="Z593" s="1"/>
      <c r="AA593" s="1"/>
      <c r="AB593" s="1"/>
      <c r="AC593" s="1"/>
      <c r="AD593" s="1"/>
    </row>
    <row r="594" spans="7:30">
      <c r="G594" s="1"/>
      <c r="H594" s="1"/>
      <c r="I594" s="1"/>
      <c r="J594" s="1"/>
      <c r="L594" s="1"/>
      <c r="M594" s="1"/>
      <c r="N594" s="1"/>
      <c r="O594" s="2"/>
      <c r="S594" s="2"/>
      <c r="T594" s="1"/>
      <c r="Z594" s="1"/>
      <c r="AA594" s="1"/>
      <c r="AB594" s="1"/>
      <c r="AC594" s="1"/>
      <c r="AD594" s="1"/>
    </row>
    <row r="595" spans="7:30">
      <c r="G595" s="1"/>
      <c r="H595" s="1"/>
      <c r="I595" s="1"/>
      <c r="J595" s="1"/>
      <c r="L595" s="1"/>
      <c r="M595" s="1"/>
      <c r="N595" s="1"/>
      <c r="O595" s="2"/>
      <c r="S595" s="2"/>
      <c r="T595" s="1"/>
      <c r="Z595" s="1"/>
      <c r="AA595" s="1"/>
      <c r="AB595" s="1"/>
      <c r="AC595" s="1"/>
      <c r="AD595" s="1"/>
    </row>
    <row r="596" spans="7:30">
      <c r="G596" s="1"/>
      <c r="H596" s="1"/>
      <c r="I596" s="1"/>
      <c r="J596" s="1"/>
      <c r="L596" s="1"/>
      <c r="M596" s="1"/>
      <c r="N596" s="1"/>
      <c r="O596" s="2"/>
      <c r="S596" s="2"/>
      <c r="T596" s="1"/>
      <c r="Z596" s="1"/>
      <c r="AA596" s="1"/>
      <c r="AB596" s="1"/>
      <c r="AC596" s="1"/>
      <c r="AD596" s="1"/>
    </row>
    <row r="597" spans="7:30">
      <c r="G597" s="1"/>
      <c r="H597" s="1"/>
      <c r="I597" s="1"/>
      <c r="J597" s="1"/>
      <c r="L597" s="1"/>
      <c r="M597" s="1"/>
      <c r="N597" s="1"/>
      <c r="O597" s="2"/>
      <c r="S597" s="2"/>
      <c r="T597" s="1"/>
      <c r="Z597" s="1"/>
      <c r="AA597" s="1"/>
      <c r="AB597" s="1"/>
      <c r="AC597" s="1"/>
      <c r="AD597" s="1"/>
    </row>
    <row r="598" spans="7:30">
      <c r="G598" s="1"/>
      <c r="H598" s="1"/>
      <c r="I598" s="1"/>
      <c r="J598" s="1"/>
      <c r="L598" s="1"/>
      <c r="M598" s="1"/>
      <c r="N598" s="1"/>
      <c r="O598" s="2"/>
      <c r="S598" s="2"/>
      <c r="T598" s="1"/>
      <c r="Z598" s="1"/>
      <c r="AA598" s="1"/>
      <c r="AB598" s="1"/>
      <c r="AC598" s="1"/>
      <c r="AD598" s="1"/>
    </row>
    <row r="599" spans="7:30">
      <c r="G599" s="1"/>
      <c r="H599" s="1"/>
      <c r="I599" s="1"/>
      <c r="J599" s="1"/>
      <c r="L599" s="1"/>
      <c r="M599" s="1"/>
      <c r="N599" s="1"/>
      <c r="O599" s="2"/>
      <c r="S599" s="2"/>
      <c r="T599" s="1"/>
      <c r="Z599" s="1"/>
      <c r="AA599" s="1"/>
      <c r="AB599" s="1"/>
      <c r="AC599" s="1"/>
      <c r="AD599" s="1"/>
    </row>
    <row r="600" spans="7:30">
      <c r="G600" s="1"/>
      <c r="H600" s="1"/>
      <c r="I600" s="1"/>
      <c r="J600" s="1"/>
      <c r="L600" s="1"/>
      <c r="M600" s="1"/>
      <c r="N600" s="1"/>
      <c r="O600" s="2"/>
      <c r="S600" s="2"/>
      <c r="T600" s="1"/>
      <c r="Z600" s="1"/>
      <c r="AA600" s="1"/>
      <c r="AB600" s="1"/>
      <c r="AC600" s="1"/>
      <c r="AD600" s="1"/>
    </row>
    <row r="601" spans="7:30">
      <c r="G601" s="1"/>
      <c r="H601" s="1"/>
      <c r="I601" s="1"/>
      <c r="J601" s="1"/>
      <c r="L601" s="1"/>
      <c r="M601" s="1"/>
      <c r="N601" s="1"/>
      <c r="O601" s="2"/>
      <c r="S601" s="2"/>
      <c r="T601" s="1"/>
      <c r="Z601" s="1"/>
      <c r="AA601" s="1"/>
      <c r="AB601" s="1"/>
      <c r="AC601" s="1"/>
      <c r="AD601" s="1"/>
    </row>
    <row r="602" spans="7:30">
      <c r="G602" s="1"/>
      <c r="H602" s="1"/>
      <c r="I602" s="1"/>
      <c r="J602" s="1"/>
      <c r="L602" s="1"/>
      <c r="M602" s="1"/>
      <c r="N602" s="1"/>
      <c r="O602" s="2"/>
      <c r="S602" s="2"/>
      <c r="T602" s="1"/>
      <c r="Z602" s="1"/>
      <c r="AA602" s="1"/>
      <c r="AB602" s="1"/>
      <c r="AC602" s="1"/>
      <c r="AD602" s="1"/>
    </row>
    <row r="603" spans="7:30">
      <c r="G603" s="1"/>
      <c r="H603" s="1"/>
      <c r="I603" s="1"/>
      <c r="J603" s="1"/>
      <c r="L603" s="1"/>
      <c r="M603" s="1"/>
      <c r="N603" s="1"/>
      <c r="O603" s="2"/>
      <c r="S603" s="2"/>
      <c r="T603" s="1"/>
      <c r="Z603" s="1"/>
      <c r="AA603" s="1"/>
      <c r="AB603" s="1"/>
      <c r="AC603" s="1"/>
      <c r="AD603" s="1"/>
    </row>
    <row r="604" spans="7:30">
      <c r="G604" s="1"/>
      <c r="H604" s="1"/>
      <c r="I604" s="1"/>
      <c r="J604" s="1"/>
      <c r="L604" s="1"/>
      <c r="M604" s="1"/>
      <c r="N604" s="1"/>
      <c r="O604" s="2"/>
      <c r="S604" s="2"/>
      <c r="T604" s="1"/>
      <c r="Z604" s="1"/>
      <c r="AA604" s="1"/>
      <c r="AB604" s="1"/>
      <c r="AC604" s="1"/>
      <c r="AD604" s="1"/>
    </row>
    <row r="605" spans="7:30">
      <c r="G605" s="1"/>
      <c r="H605" s="1"/>
      <c r="I605" s="1"/>
      <c r="J605" s="1"/>
      <c r="L605" s="1"/>
      <c r="M605" s="1"/>
      <c r="N605" s="1"/>
      <c r="O605" s="2"/>
      <c r="S605" s="2"/>
      <c r="T605" s="1"/>
      <c r="Z605" s="1"/>
      <c r="AA605" s="1"/>
      <c r="AB605" s="1"/>
      <c r="AC605" s="1"/>
      <c r="AD605" s="1"/>
    </row>
    <row r="606" spans="7:30">
      <c r="G606" s="1"/>
      <c r="H606" s="1"/>
      <c r="I606" s="1"/>
      <c r="J606" s="1"/>
      <c r="L606" s="1"/>
      <c r="M606" s="1"/>
      <c r="N606" s="1"/>
      <c r="O606" s="2"/>
      <c r="S606" s="2"/>
      <c r="T606" s="1"/>
      <c r="Z606" s="1"/>
      <c r="AA606" s="1"/>
      <c r="AB606" s="1"/>
      <c r="AC606" s="1"/>
      <c r="AD606" s="1"/>
    </row>
    <row r="607" spans="7:30">
      <c r="G607" s="1"/>
      <c r="H607" s="1"/>
      <c r="I607" s="1"/>
      <c r="J607" s="1"/>
      <c r="L607" s="1"/>
      <c r="M607" s="1"/>
      <c r="N607" s="1"/>
      <c r="O607" s="2"/>
      <c r="S607" s="2"/>
      <c r="T607" s="1"/>
      <c r="Z607" s="1"/>
      <c r="AA607" s="1"/>
      <c r="AB607" s="1"/>
      <c r="AC607" s="1"/>
      <c r="AD607" s="1"/>
    </row>
    <row r="608" spans="7:30">
      <c r="G608" s="1"/>
      <c r="H608" s="1"/>
      <c r="I608" s="1"/>
      <c r="J608" s="1"/>
      <c r="L608" s="1"/>
      <c r="M608" s="1"/>
      <c r="N608" s="1"/>
      <c r="O608" s="2"/>
      <c r="S608" s="2"/>
      <c r="T608" s="1"/>
      <c r="Z608" s="1"/>
      <c r="AA608" s="1"/>
      <c r="AB608" s="1"/>
      <c r="AC608" s="1"/>
      <c r="AD608" s="1"/>
    </row>
    <row r="609" spans="7:30">
      <c r="G609" s="1"/>
      <c r="H609" s="1"/>
      <c r="I609" s="1"/>
      <c r="J609" s="1"/>
      <c r="L609" s="1"/>
      <c r="M609" s="1"/>
      <c r="N609" s="1"/>
      <c r="O609" s="2"/>
      <c r="S609" s="2"/>
      <c r="T609" s="1"/>
      <c r="Z609" s="1"/>
      <c r="AA609" s="1"/>
      <c r="AB609" s="1"/>
      <c r="AC609" s="1"/>
      <c r="AD609" s="1"/>
    </row>
    <row r="610" spans="7:30">
      <c r="G610" s="1"/>
      <c r="H610" s="1"/>
      <c r="I610" s="1"/>
      <c r="J610" s="1"/>
      <c r="L610" s="1"/>
      <c r="M610" s="1"/>
      <c r="N610" s="1"/>
      <c r="O610" s="2"/>
      <c r="S610" s="2"/>
      <c r="T610" s="1"/>
      <c r="Z610" s="1"/>
      <c r="AA610" s="1"/>
      <c r="AB610" s="1"/>
      <c r="AC610" s="1"/>
      <c r="AD610" s="1"/>
    </row>
    <row r="611" spans="7:30">
      <c r="G611" s="1"/>
      <c r="H611" s="1"/>
      <c r="I611" s="1"/>
      <c r="J611" s="1"/>
      <c r="L611" s="1"/>
      <c r="M611" s="1"/>
      <c r="N611" s="1"/>
      <c r="O611" s="2"/>
      <c r="S611" s="2"/>
      <c r="T611" s="1"/>
      <c r="Z611" s="1"/>
      <c r="AA611" s="1"/>
      <c r="AB611" s="1"/>
      <c r="AC611" s="1"/>
      <c r="AD611" s="1"/>
    </row>
    <row r="612" spans="7:30">
      <c r="G612" s="1"/>
      <c r="H612" s="1"/>
      <c r="I612" s="1"/>
      <c r="J612" s="1"/>
      <c r="L612" s="1"/>
      <c r="M612" s="1"/>
      <c r="N612" s="1"/>
      <c r="O612" s="2"/>
      <c r="S612" s="2"/>
      <c r="T612" s="1"/>
      <c r="Z612" s="1"/>
      <c r="AA612" s="1"/>
      <c r="AB612" s="1"/>
      <c r="AC612" s="1"/>
      <c r="AD612" s="1"/>
    </row>
    <row r="613" spans="7:30">
      <c r="G613" s="1"/>
      <c r="H613" s="1"/>
      <c r="I613" s="1"/>
      <c r="J613" s="1"/>
      <c r="L613" s="1"/>
      <c r="M613" s="1"/>
      <c r="N613" s="1"/>
      <c r="O613" s="2"/>
      <c r="S613" s="2"/>
      <c r="T613" s="1"/>
      <c r="Z613" s="1"/>
      <c r="AA613" s="1"/>
      <c r="AB613" s="1"/>
      <c r="AC613" s="1"/>
      <c r="AD613" s="1"/>
    </row>
    <row r="614" spans="7:30">
      <c r="G614" s="1"/>
      <c r="H614" s="1"/>
      <c r="I614" s="1"/>
      <c r="J614" s="1"/>
      <c r="L614" s="1"/>
      <c r="M614" s="1"/>
      <c r="N614" s="1"/>
      <c r="O614" s="2"/>
      <c r="S614" s="2"/>
      <c r="T614" s="1"/>
      <c r="Z614" s="1"/>
      <c r="AA614" s="1"/>
      <c r="AB614" s="1"/>
      <c r="AC614" s="1"/>
      <c r="AD614" s="1"/>
    </row>
    <row r="615" spans="7:30">
      <c r="G615" s="1"/>
      <c r="H615" s="1"/>
      <c r="I615" s="1"/>
      <c r="J615" s="1"/>
      <c r="L615" s="1"/>
      <c r="M615" s="1"/>
      <c r="N615" s="1"/>
      <c r="O615" s="2"/>
      <c r="S615" s="2"/>
      <c r="T615" s="1"/>
      <c r="Z615" s="1"/>
      <c r="AA615" s="1"/>
      <c r="AB615" s="1"/>
      <c r="AC615" s="1"/>
      <c r="AD615" s="1"/>
    </row>
    <row r="616" spans="7:30">
      <c r="G616" s="1"/>
      <c r="H616" s="1"/>
      <c r="I616" s="1"/>
      <c r="J616" s="1"/>
      <c r="L616" s="1"/>
      <c r="M616" s="1"/>
      <c r="N616" s="1"/>
      <c r="O616" s="2"/>
      <c r="S616" s="2"/>
      <c r="T616" s="1"/>
      <c r="Z616" s="1"/>
      <c r="AA616" s="1"/>
      <c r="AB616" s="1"/>
      <c r="AC616" s="1"/>
      <c r="AD616" s="1"/>
    </row>
    <row r="617" spans="7:30">
      <c r="G617" s="1"/>
      <c r="H617" s="1"/>
      <c r="I617" s="1"/>
      <c r="J617" s="1"/>
      <c r="L617" s="1"/>
      <c r="M617" s="1"/>
      <c r="N617" s="1"/>
      <c r="O617" s="2"/>
      <c r="S617" s="2"/>
      <c r="T617" s="1"/>
      <c r="Z617" s="1"/>
      <c r="AA617" s="1"/>
      <c r="AB617" s="1"/>
      <c r="AC617" s="1"/>
      <c r="AD617" s="1"/>
    </row>
    <row r="618" spans="7:30">
      <c r="G618" s="1"/>
      <c r="H618" s="1"/>
      <c r="I618" s="1"/>
      <c r="J618" s="1"/>
      <c r="L618" s="1"/>
      <c r="M618" s="1"/>
      <c r="N618" s="1"/>
      <c r="O618" s="2"/>
      <c r="S618" s="2"/>
      <c r="T618" s="1"/>
      <c r="Z618" s="1"/>
      <c r="AA618" s="1"/>
      <c r="AB618" s="1"/>
      <c r="AC618" s="1"/>
      <c r="AD618" s="1"/>
    </row>
    <row r="619" spans="7:30">
      <c r="G619" s="1"/>
      <c r="H619" s="1"/>
      <c r="I619" s="1"/>
      <c r="J619" s="1"/>
      <c r="L619" s="1"/>
      <c r="M619" s="1"/>
      <c r="N619" s="1"/>
      <c r="O619" s="2"/>
      <c r="S619" s="2"/>
      <c r="T619" s="1"/>
      <c r="Z619" s="1"/>
      <c r="AA619" s="1"/>
      <c r="AB619" s="1"/>
      <c r="AC619" s="1"/>
      <c r="AD619" s="1"/>
    </row>
    <row r="620" spans="7:30">
      <c r="G620" s="1"/>
      <c r="H620" s="1"/>
      <c r="I620" s="1"/>
      <c r="J620" s="1"/>
      <c r="L620" s="1"/>
      <c r="M620" s="1"/>
      <c r="N620" s="1"/>
      <c r="O620" s="2"/>
      <c r="S620" s="2"/>
      <c r="T620" s="1"/>
      <c r="Z620" s="1"/>
      <c r="AA620" s="1"/>
      <c r="AB620" s="1"/>
      <c r="AC620" s="1"/>
      <c r="AD620" s="1"/>
    </row>
    <row r="621" spans="7:30">
      <c r="G621" s="1"/>
      <c r="H621" s="1"/>
      <c r="I621" s="1"/>
      <c r="J621" s="1"/>
      <c r="L621" s="1"/>
      <c r="M621" s="1"/>
      <c r="N621" s="1"/>
      <c r="O621" s="2"/>
      <c r="S621" s="2"/>
      <c r="T621" s="1"/>
      <c r="Z621" s="1"/>
      <c r="AA621" s="1"/>
      <c r="AB621" s="1"/>
      <c r="AC621" s="1"/>
      <c r="AD621" s="1"/>
    </row>
    <row r="622" spans="7:30">
      <c r="G622" s="1"/>
      <c r="H622" s="1"/>
      <c r="I622" s="1"/>
      <c r="J622" s="1"/>
      <c r="L622" s="1"/>
      <c r="M622" s="1"/>
      <c r="N622" s="1"/>
      <c r="O622" s="2"/>
      <c r="S622" s="2"/>
      <c r="T622" s="1"/>
      <c r="Z622" s="1"/>
      <c r="AA622" s="1"/>
      <c r="AB622" s="1"/>
      <c r="AC622" s="1"/>
      <c r="AD622" s="1"/>
    </row>
    <row r="623" spans="7:30">
      <c r="G623" s="1"/>
      <c r="H623" s="1"/>
      <c r="I623" s="1"/>
      <c r="J623" s="1"/>
      <c r="L623" s="1"/>
      <c r="M623" s="1"/>
      <c r="N623" s="1"/>
      <c r="O623" s="2"/>
      <c r="S623" s="2"/>
      <c r="T623" s="1"/>
      <c r="Z623" s="1"/>
      <c r="AA623" s="1"/>
      <c r="AB623" s="1"/>
      <c r="AC623" s="1"/>
      <c r="AD623" s="1"/>
    </row>
    <row r="624" spans="7:30">
      <c r="G624" s="1"/>
      <c r="H624" s="1"/>
      <c r="I624" s="1"/>
      <c r="J624" s="1"/>
      <c r="L624" s="1"/>
      <c r="M624" s="1"/>
      <c r="N624" s="1"/>
      <c r="O624" s="2"/>
      <c r="S624" s="2"/>
      <c r="T624" s="1"/>
      <c r="Z624" s="1"/>
      <c r="AA624" s="1"/>
      <c r="AB624" s="1"/>
      <c r="AC624" s="1"/>
      <c r="AD624" s="1"/>
    </row>
    <row r="625" spans="7:30">
      <c r="G625" s="1"/>
      <c r="H625" s="1"/>
      <c r="I625" s="1"/>
      <c r="J625" s="1"/>
      <c r="L625" s="1"/>
      <c r="M625" s="1"/>
      <c r="N625" s="1"/>
      <c r="O625" s="2"/>
      <c r="S625" s="2"/>
      <c r="T625" s="1"/>
      <c r="Z625" s="1"/>
      <c r="AA625" s="1"/>
      <c r="AB625" s="1"/>
      <c r="AC625" s="1"/>
      <c r="AD625" s="1"/>
    </row>
    <row r="626" spans="7:30">
      <c r="G626" s="1"/>
      <c r="H626" s="1"/>
      <c r="I626" s="1"/>
      <c r="J626" s="1"/>
      <c r="L626" s="1"/>
      <c r="M626" s="1"/>
      <c r="N626" s="1"/>
      <c r="O626" s="2"/>
      <c r="S626" s="2"/>
      <c r="T626" s="1"/>
      <c r="Z626" s="1"/>
      <c r="AA626" s="1"/>
      <c r="AB626" s="1"/>
      <c r="AC626" s="1"/>
      <c r="AD626" s="1"/>
    </row>
    <row r="627" spans="7:30">
      <c r="G627" s="1"/>
      <c r="H627" s="1"/>
      <c r="I627" s="1"/>
      <c r="J627" s="1"/>
      <c r="L627" s="1"/>
      <c r="M627" s="1"/>
      <c r="N627" s="1"/>
      <c r="O627" s="2"/>
      <c r="S627" s="2"/>
      <c r="T627" s="1"/>
      <c r="Z627" s="1"/>
      <c r="AA627" s="1"/>
      <c r="AB627" s="1"/>
      <c r="AC627" s="1"/>
      <c r="AD627" s="1"/>
    </row>
    <row r="628" spans="7:30">
      <c r="G628" s="1"/>
      <c r="H628" s="1"/>
      <c r="I628" s="1"/>
      <c r="J628" s="1"/>
      <c r="L628" s="1"/>
      <c r="M628" s="1"/>
      <c r="N628" s="1"/>
      <c r="O628" s="2"/>
      <c r="S628" s="2"/>
      <c r="T628" s="1"/>
      <c r="Z628" s="1"/>
      <c r="AA628" s="1"/>
      <c r="AB628" s="1"/>
      <c r="AC628" s="1"/>
      <c r="AD628" s="1"/>
    </row>
    <row r="629" spans="7:30">
      <c r="G629" s="1"/>
      <c r="H629" s="1"/>
      <c r="I629" s="1"/>
      <c r="J629" s="1"/>
      <c r="L629" s="1"/>
      <c r="M629" s="1"/>
      <c r="N629" s="1"/>
      <c r="O629" s="2"/>
      <c r="S629" s="2"/>
      <c r="T629" s="1"/>
      <c r="Z629" s="1"/>
      <c r="AA629" s="1"/>
      <c r="AB629" s="1"/>
      <c r="AC629" s="1"/>
      <c r="AD629" s="1"/>
    </row>
    <row r="630" spans="7:30">
      <c r="G630" s="1"/>
      <c r="H630" s="1"/>
      <c r="I630" s="1"/>
      <c r="J630" s="1"/>
      <c r="L630" s="1"/>
      <c r="M630" s="1"/>
      <c r="N630" s="1"/>
      <c r="O630" s="2"/>
      <c r="S630" s="2"/>
      <c r="T630" s="1"/>
      <c r="Z630" s="1"/>
      <c r="AA630" s="1"/>
      <c r="AB630" s="1"/>
      <c r="AC630" s="1"/>
      <c r="AD630" s="1"/>
    </row>
    <row r="631" spans="7:30">
      <c r="G631" s="1"/>
      <c r="H631" s="1"/>
      <c r="I631" s="1"/>
      <c r="J631" s="1"/>
      <c r="L631" s="1"/>
      <c r="M631" s="1"/>
      <c r="N631" s="1"/>
      <c r="O631" s="2"/>
      <c r="S631" s="2"/>
      <c r="T631" s="1"/>
      <c r="Z631" s="1"/>
      <c r="AA631" s="1"/>
      <c r="AB631" s="1"/>
      <c r="AC631" s="1"/>
      <c r="AD631" s="1"/>
    </row>
    <row r="632" spans="7:30">
      <c r="G632" s="1"/>
      <c r="H632" s="1"/>
      <c r="I632" s="1"/>
      <c r="J632" s="1"/>
      <c r="L632" s="1"/>
      <c r="M632" s="1"/>
      <c r="N632" s="1"/>
      <c r="O632" s="2"/>
      <c r="S632" s="2"/>
      <c r="T632" s="1"/>
      <c r="Z632" s="1"/>
      <c r="AA632" s="1"/>
      <c r="AB632" s="1"/>
      <c r="AC632" s="1"/>
      <c r="AD632" s="1"/>
    </row>
    <row r="633" spans="7:30">
      <c r="G633" s="1"/>
      <c r="H633" s="1"/>
      <c r="I633" s="1"/>
      <c r="J633" s="1"/>
      <c r="L633" s="1"/>
      <c r="M633" s="1"/>
      <c r="N633" s="1"/>
      <c r="O633" s="2"/>
      <c r="S633" s="2"/>
      <c r="T633" s="1"/>
      <c r="Z633" s="1"/>
      <c r="AA633" s="1"/>
      <c r="AB633" s="1"/>
      <c r="AC633" s="1"/>
      <c r="AD633" s="1"/>
    </row>
    <row r="634" spans="7:30">
      <c r="G634" s="1"/>
      <c r="H634" s="1"/>
      <c r="I634" s="1"/>
      <c r="J634" s="1"/>
      <c r="L634" s="1"/>
      <c r="M634" s="1"/>
      <c r="N634" s="1"/>
      <c r="O634" s="2"/>
      <c r="S634" s="2"/>
      <c r="T634" s="1"/>
      <c r="Z634" s="1"/>
      <c r="AA634" s="1"/>
      <c r="AB634" s="1"/>
      <c r="AC634" s="1"/>
      <c r="AD634" s="1"/>
    </row>
    <row r="635" spans="7:30">
      <c r="G635" s="1"/>
      <c r="H635" s="1"/>
      <c r="I635" s="1"/>
      <c r="J635" s="1"/>
      <c r="L635" s="1"/>
      <c r="M635" s="1"/>
      <c r="N635" s="1"/>
      <c r="O635" s="2"/>
      <c r="S635" s="2"/>
      <c r="T635" s="1"/>
      <c r="Z635" s="1"/>
      <c r="AA635" s="1"/>
      <c r="AB635" s="1"/>
      <c r="AC635" s="1"/>
      <c r="AD635" s="1"/>
    </row>
    <row r="636" spans="7:30">
      <c r="G636" s="1"/>
      <c r="H636" s="1"/>
      <c r="I636" s="1"/>
      <c r="J636" s="1"/>
      <c r="L636" s="1"/>
      <c r="M636" s="1"/>
      <c r="N636" s="1"/>
      <c r="O636" s="2"/>
      <c r="S636" s="2"/>
      <c r="T636" s="1"/>
      <c r="Z636" s="1"/>
      <c r="AA636" s="1"/>
      <c r="AB636" s="1"/>
      <c r="AC636" s="1"/>
      <c r="AD636" s="1"/>
    </row>
    <row r="637" spans="7:30">
      <c r="G637" s="1"/>
      <c r="H637" s="1"/>
      <c r="I637" s="1"/>
      <c r="J637" s="1"/>
      <c r="L637" s="1"/>
      <c r="M637" s="1"/>
      <c r="N637" s="1"/>
      <c r="O637" s="2"/>
      <c r="S637" s="2"/>
      <c r="T637" s="1"/>
      <c r="Z637" s="1"/>
      <c r="AA637" s="1"/>
      <c r="AB637" s="1"/>
      <c r="AC637" s="1"/>
      <c r="AD637" s="1"/>
    </row>
    <row r="638" spans="7:30">
      <c r="G638" s="1"/>
      <c r="H638" s="1"/>
      <c r="I638" s="1"/>
      <c r="J638" s="1"/>
      <c r="L638" s="1"/>
      <c r="M638" s="1"/>
      <c r="N638" s="1"/>
      <c r="O638" s="2"/>
      <c r="S638" s="2"/>
      <c r="T638" s="1"/>
      <c r="Z638" s="1"/>
      <c r="AA638" s="1"/>
      <c r="AB638" s="1"/>
      <c r="AC638" s="1"/>
      <c r="AD638" s="1"/>
    </row>
    <row r="639" spans="7:30">
      <c r="G639" s="1"/>
      <c r="H639" s="1"/>
      <c r="I639" s="1"/>
      <c r="J639" s="1"/>
      <c r="L639" s="1"/>
      <c r="M639" s="1"/>
      <c r="N639" s="1"/>
      <c r="O639" s="2"/>
      <c r="S639" s="2"/>
      <c r="T639" s="1"/>
      <c r="Z639" s="1"/>
      <c r="AA639" s="1"/>
      <c r="AB639" s="1"/>
      <c r="AC639" s="1"/>
      <c r="AD639" s="1"/>
    </row>
    <row r="640" spans="7:30">
      <c r="G640" s="1"/>
      <c r="H640" s="1"/>
      <c r="I640" s="1"/>
      <c r="J640" s="1"/>
      <c r="L640" s="1"/>
      <c r="M640" s="1"/>
      <c r="N640" s="1"/>
      <c r="O640" s="2"/>
      <c r="S640" s="2"/>
      <c r="T640" s="1"/>
      <c r="Z640" s="1"/>
      <c r="AA640" s="1"/>
      <c r="AB640" s="1"/>
      <c r="AC640" s="1"/>
      <c r="AD640" s="1"/>
    </row>
    <row r="641" spans="7:30">
      <c r="G641" s="1"/>
      <c r="H641" s="1"/>
      <c r="I641" s="1"/>
      <c r="J641" s="1"/>
      <c r="L641" s="1"/>
      <c r="M641" s="1"/>
      <c r="N641" s="1"/>
      <c r="O641" s="2"/>
      <c r="S641" s="2"/>
      <c r="T641" s="1"/>
      <c r="Z641" s="1"/>
      <c r="AA641" s="1"/>
      <c r="AB641" s="1"/>
      <c r="AC641" s="1"/>
      <c r="AD641" s="1"/>
    </row>
    <row r="642" spans="7:30">
      <c r="G642" s="1"/>
      <c r="H642" s="1"/>
      <c r="I642" s="1"/>
      <c r="J642" s="1"/>
      <c r="L642" s="1"/>
      <c r="M642" s="1"/>
      <c r="N642" s="1"/>
      <c r="O642" s="2"/>
      <c r="S642" s="2"/>
      <c r="T642" s="1"/>
      <c r="Z642" s="1"/>
      <c r="AA642" s="1"/>
      <c r="AB642" s="1"/>
      <c r="AC642" s="1"/>
      <c r="AD642" s="1"/>
    </row>
    <row r="643" spans="7:30">
      <c r="G643" s="1"/>
      <c r="H643" s="1"/>
      <c r="I643" s="1"/>
      <c r="J643" s="1"/>
      <c r="L643" s="1"/>
      <c r="M643" s="1"/>
      <c r="N643" s="1"/>
      <c r="O643" s="2"/>
      <c r="S643" s="2"/>
      <c r="T643" s="1"/>
      <c r="Z643" s="1"/>
      <c r="AA643" s="1"/>
      <c r="AB643" s="1"/>
      <c r="AC643" s="1"/>
      <c r="AD643" s="1"/>
    </row>
    <row r="644" spans="7:30">
      <c r="G644" s="1"/>
      <c r="H644" s="1"/>
      <c r="I644" s="1"/>
      <c r="J644" s="1"/>
      <c r="L644" s="1"/>
      <c r="M644" s="1"/>
      <c r="N644" s="1"/>
      <c r="O644" s="2"/>
      <c r="S644" s="2"/>
      <c r="T644" s="1"/>
      <c r="Z644" s="1"/>
      <c r="AA644" s="1"/>
      <c r="AB644" s="1"/>
      <c r="AC644" s="1"/>
      <c r="AD644" s="1"/>
    </row>
    <row r="645" spans="7:30">
      <c r="G645" s="1"/>
      <c r="H645" s="1"/>
      <c r="I645" s="1"/>
      <c r="J645" s="1"/>
      <c r="L645" s="1"/>
      <c r="M645" s="1"/>
      <c r="N645" s="1"/>
      <c r="O645" s="2"/>
      <c r="S645" s="2"/>
      <c r="T645" s="1"/>
      <c r="Z645" s="1"/>
      <c r="AA645" s="1"/>
      <c r="AB645" s="1"/>
      <c r="AC645" s="1"/>
      <c r="AD645" s="1"/>
    </row>
    <row r="646" spans="7:30">
      <c r="G646" s="1"/>
      <c r="H646" s="1"/>
      <c r="I646" s="1"/>
      <c r="J646" s="1"/>
      <c r="L646" s="1"/>
      <c r="M646" s="1"/>
      <c r="N646" s="1"/>
      <c r="O646" s="2"/>
      <c r="S646" s="2"/>
      <c r="T646" s="1"/>
      <c r="Z646" s="1"/>
      <c r="AA646" s="1"/>
      <c r="AB646" s="1"/>
      <c r="AC646" s="1"/>
      <c r="AD646" s="1"/>
    </row>
    <row r="647" spans="7:30">
      <c r="G647" s="1"/>
      <c r="H647" s="1"/>
      <c r="I647" s="1"/>
      <c r="J647" s="1"/>
      <c r="L647" s="1"/>
      <c r="M647" s="1"/>
      <c r="N647" s="1"/>
      <c r="O647" s="2"/>
      <c r="S647" s="2"/>
      <c r="T647" s="1"/>
      <c r="Z647" s="1"/>
      <c r="AA647" s="1"/>
      <c r="AB647" s="1"/>
      <c r="AC647" s="1"/>
      <c r="AD647" s="1"/>
    </row>
    <row r="648" spans="7:30">
      <c r="G648" s="1"/>
      <c r="H648" s="1"/>
      <c r="I648" s="1"/>
      <c r="J648" s="1"/>
      <c r="L648" s="1"/>
      <c r="M648" s="1"/>
      <c r="N648" s="1"/>
      <c r="O648" s="2"/>
      <c r="S648" s="2"/>
      <c r="T648" s="1"/>
      <c r="Z648" s="1"/>
      <c r="AA648" s="1"/>
      <c r="AB648" s="1"/>
      <c r="AC648" s="1"/>
      <c r="AD648" s="1"/>
    </row>
    <row r="649" spans="7:30">
      <c r="G649" s="1"/>
      <c r="H649" s="1"/>
      <c r="I649" s="1"/>
      <c r="J649" s="1"/>
      <c r="L649" s="1"/>
      <c r="M649" s="1"/>
      <c r="N649" s="1"/>
      <c r="O649" s="2"/>
      <c r="S649" s="2"/>
      <c r="T649" s="1"/>
      <c r="Z649" s="1"/>
      <c r="AA649" s="1"/>
      <c r="AB649" s="1"/>
      <c r="AC649" s="1"/>
      <c r="AD649" s="1"/>
    </row>
    <row r="650" spans="7:30">
      <c r="G650" s="1"/>
      <c r="H650" s="1"/>
      <c r="I650" s="1"/>
      <c r="J650" s="1"/>
      <c r="L650" s="1"/>
      <c r="M650" s="1"/>
      <c r="N650" s="1"/>
      <c r="O650" s="2"/>
      <c r="S650" s="2"/>
      <c r="T650" s="1"/>
      <c r="Z650" s="1"/>
      <c r="AA650" s="1"/>
      <c r="AB650" s="1"/>
      <c r="AC650" s="1"/>
      <c r="AD650" s="1"/>
    </row>
    <row r="651" spans="7:30">
      <c r="G651" s="1"/>
      <c r="H651" s="1"/>
      <c r="I651" s="1"/>
      <c r="J651" s="1"/>
      <c r="L651" s="1"/>
      <c r="M651" s="1"/>
      <c r="N651" s="1"/>
      <c r="O651" s="2"/>
      <c r="S651" s="2"/>
      <c r="T651" s="1"/>
      <c r="Z651" s="1"/>
      <c r="AA651" s="1"/>
      <c r="AB651" s="1"/>
      <c r="AC651" s="1"/>
      <c r="AD651" s="1"/>
    </row>
    <row r="652" spans="7:30">
      <c r="G652" s="1"/>
      <c r="H652" s="1"/>
      <c r="I652" s="1"/>
      <c r="J652" s="1"/>
      <c r="L652" s="1"/>
      <c r="M652" s="1"/>
      <c r="N652" s="1"/>
      <c r="O652" s="2"/>
      <c r="S652" s="2"/>
      <c r="T652" s="1"/>
      <c r="Z652" s="1"/>
      <c r="AA652" s="1"/>
      <c r="AB652" s="1"/>
      <c r="AC652" s="1"/>
      <c r="AD652" s="1"/>
    </row>
    <row r="653" spans="7:30">
      <c r="G653" s="1"/>
      <c r="H653" s="1"/>
      <c r="I653" s="1"/>
      <c r="J653" s="1"/>
      <c r="L653" s="1"/>
      <c r="M653" s="1"/>
      <c r="N653" s="1"/>
      <c r="O653" s="2"/>
      <c r="S653" s="2"/>
      <c r="T653" s="1"/>
      <c r="Z653" s="1"/>
      <c r="AA653" s="1"/>
      <c r="AB653" s="1"/>
      <c r="AC653" s="1"/>
      <c r="AD653" s="1"/>
    </row>
    <row r="654" spans="7:30">
      <c r="G654" s="1"/>
      <c r="H654" s="1"/>
      <c r="I654" s="1"/>
      <c r="J654" s="1"/>
      <c r="L654" s="1"/>
      <c r="M654" s="1"/>
      <c r="N654" s="1"/>
      <c r="O654" s="2"/>
      <c r="S654" s="2"/>
      <c r="T654" s="1"/>
      <c r="Z654" s="1"/>
      <c r="AA654" s="1"/>
      <c r="AB654" s="1"/>
      <c r="AC654" s="1"/>
      <c r="AD654" s="1"/>
    </row>
    <row r="655" spans="7:30">
      <c r="G655" s="1"/>
      <c r="H655" s="1"/>
      <c r="I655" s="1"/>
      <c r="J655" s="1"/>
      <c r="L655" s="1"/>
      <c r="M655" s="1"/>
      <c r="N655" s="1"/>
      <c r="O655" s="2"/>
      <c r="S655" s="2"/>
      <c r="T655" s="1"/>
      <c r="Z655" s="1"/>
      <c r="AA655" s="1"/>
      <c r="AB655" s="1"/>
      <c r="AC655" s="1"/>
      <c r="AD655" s="1"/>
    </row>
    <row r="656" spans="7:30">
      <c r="G656" s="1"/>
      <c r="H656" s="1"/>
      <c r="I656" s="1"/>
      <c r="J656" s="1"/>
      <c r="L656" s="1"/>
      <c r="M656" s="1"/>
      <c r="N656" s="1"/>
      <c r="O656" s="2"/>
      <c r="S656" s="2"/>
      <c r="T656" s="1"/>
      <c r="Z656" s="1"/>
      <c r="AA656" s="1"/>
      <c r="AB656" s="1"/>
      <c r="AC656" s="1"/>
      <c r="AD656" s="1"/>
    </row>
    <row r="657" spans="7:30">
      <c r="G657" s="1"/>
      <c r="H657" s="1"/>
      <c r="I657" s="1"/>
      <c r="J657" s="1"/>
      <c r="L657" s="1"/>
      <c r="M657" s="1"/>
      <c r="N657" s="1"/>
      <c r="O657" s="2"/>
      <c r="S657" s="2"/>
      <c r="T657" s="1"/>
      <c r="Z657" s="1"/>
      <c r="AA657" s="1"/>
      <c r="AB657" s="1"/>
      <c r="AC657" s="1"/>
      <c r="AD657" s="1"/>
    </row>
    <row r="658" spans="7:30">
      <c r="G658" s="1"/>
      <c r="H658" s="1"/>
      <c r="I658" s="1"/>
      <c r="J658" s="1"/>
      <c r="L658" s="1"/>
      <c r="M658" s="1"/>
      <c r="N658" s="1"/>
      <c r="O658" s="2"/>
      <c r="S658" s="2"/>
      <c r="T658" s="1"/>
      <c r="Z658" s="1"/>
      <c r="AA658" s="1"/>
      <c r="AB658" s="1"/>
      <c r="AC658" s="1"/>
      <c r="AD658" s="1"/>
    </row>
    <row r="659" spans="7:30">
      <c r="G659" s="1"/>
      <c r="H659" s="1"/>
      <c r="I659" s="1"/>
      <c r="J659" s="1"/>
      <c r="L659" s="1"/>
      <c r="M659" s="1"/>
      <c r="N659" s="1"/>
      <c r="O659" s="2"/>
      <c r="S659" s="2"/>
      <c r="T659" s="1"/>
      <c r="Z659" s="1"/>
      <c r="AA659" s="1"/>
      <c r="AB659" s="1"/>
      <c r="AC659" s="1"/>
      <c r="AD659" s="1"/>
    </row>
    <row r="660" spans="7:30">
      <c r="G660" s="1"/>
      <c r="H660" s="1"/>
      <c r="I660" s="1"/>
      <c r="J660" s="1"/>
      <c r="L660" s="1"/>
      <c r="M660" s="1"/>
      <c r="N660" s="1"/>
      <c r="O660" s="2"/>
      <c r="S660" s="2"/>
      <c r="T660" s="1"/>
      <c r="Z660" s="1"/>
      <c r="AA660" s="1"/>
      <c r="AB660" s="1"/>
      <c r="AC660" s="1"/>
      <c r="AD660" s="1"/>
    </row>
    <row r="661" spans="7:30">
      <c r="G661" s="1"/>
      <c r="H661" s="1"/>
      <c r="I661" s="1"/>
      <c r="J661" s="1"/>
      <c r="L661" s="1"/>
      <c r="M661" s="1"/>
      <c r="N661" s="1"/>
      <c r="O661" s="2"/>
      <c r="S661" s="2"/>
      <c r="T661" s="1"/>
      <c r="Z661" s="1"/>
      <c r="AA661" s="1"/>
      <c r="AB661" s="1"/>
      <c r="AC661" s="1"/>
      <c r="AD661" s="1"/>
    </row>
    <row r="662" spans="7:30">
      <c r="G662" s="1"/>
      <c r="H662" s="1"/>
      <c r="I662" s="1"/>
      <c r="J662" s="1"/>
      <c r="L662" s="1"/>
      <c r="M662" s="1"/>
      <c r="N662" s="1"/>
      <c r="O662" s="2"/>
      <c r="S662" s="2"/>
      <c r="T662" s="1"/>
      <c r="Z662" s="1"/>
      <c r="AA662" s="1"/>
      <c r="AB662" s="1"/>
      <c r="AC662" s="1"/>
      <c r="AD662" s="1"/>
    </row>
    <row r="663" spans="7:30">
      <c r="G663" s="1"/>
      <c r="H663" s="1"/>
      <c r="I663" s="1"/>
      <c r="J663" s="1"/>
      <c r="L663" s="1"/>
      <c r="M663" s="1"/>
      <c r="N663" s="1"/>
      <c r="O663" s="2"/>
      <c r="S663" s="2"/>
      <c r="T663" s="1"/>
      <c r="Z663" s="1"/>
      <c r="AA663" s="1"/>
      <c r="AB663" s="1"/>
      <c r="AC663" s="1"/>
      <c r="AD663" s="1"/>
    </row>
    <row r="664" spans="7:30">
      <c r="G664" s="1"/>
      <c r="H664" s="1"/>
      <c r="I664" s="1"/>
      <c r="J664" s="1"/>
      <c r="L664" s="1"/>
      <c r="M664" s="1"/>
      <c r="N664" s="1"/>
      <c r="O664" s="2"/>
      <c r="S664" s="2"/>
      <c r="T664" s="1"/>
      <c r="Z664" s="1"/>
      <c r="AA664" s="1"/>
      <c r="AB664" s="1"/>
      <c r="AC664" s="1"/>
      <c r="AD664" s="1"/>
    </row>
    <row r="665" spans="7:30">
      <c r="G665" s="1"/>
      <c r="H665" s="1"/>
      <c r="I665" s="1"/>
      <c r="J665" s="1"/>
      <c r="L665" s="1"/>
      <c r="M665" s="1"/>
      <c r="N665" s="1"/>
      <c r="O665" s="2"/>
      <c r="S665" s="2"/>
      <c r="T665" s="1"/>
      <c r="Z665" s="1"/>
      <c r="AA665" s="1"/>
      <c r="AB665" s="1"/>
      <c r="AC665" s="1"/>
      <c r="AD665" s="1"/>
    </row>
    <row r="666" spans="7:30">
      <c r="G666" s="1"/>
      <c r="H666" s="1"/>
      <c r="I666" s="1"/>
      <c r="J666" s="1"/>
      <c r="L666" s="1"/>
      <c r="M666" s="1"/>
      <c r="N666" s="1"/>
      <c r="O666" s="2"/>
      <c r="S666" s="2"/>
      <c r="T666" s="1"/>
      <c r="Z666" s="1"/>
      <c r="AA666" s="1"/>
      <c r="AB666" s="1"/>
      <c r="AC666" s="1"/>
      <c r="AD666" s="1"/>
    </row>
    <row r="667" spans="7:30">
      <c r="G667" s="1"/>
      <c r="H667" s="1"/>
      <c r="I667" s="1"/>
      <c r="J667" s="1"/>
      <c r="L667" s="1"/>
      <c r="M667" s="1"/>
      <c r="N667" s="1"/>
      <c r="O667" s="2"/>
      <c r="S667" s="2"/>
      <c r="T667" s="1"/>
      <c r="Z667" s="1"/>
      <c r="AA667" s="1"/>
      <c r="AB667" s="1"/>
      <c r="AC667" s="1"/>
      <c r="AD667" s="1"/>
    </row>
    <row r="668" spans="7:30">
      <c r="G668" s="1"/>
      <c r="H668" s="1"/>
      <c r="I668" s="1"/>
      <c r="J668" s="1"/>
      <c r="L668" s="1"/>
      <c r="M668" s="1"/>
      <c r="N668" s="1"/>
      <c r="O668" s="2"/>
      <c r="S668" s="2"/>
      <c r="T668" s="1"/>
      <c r="Z668" s="1"/>
      <c r="AA668" s="1"/>
      <c r="AB668" s="1"/>
      <c r="AC668" s="1"/>
      <c r="AD668" s="1"/>
    </row>
    <row r="669" spans="7:30">
      <c r="G669" s="1"/>
      <c r="H669" s="1"/>
      <c r="I669" s="1"/>
      <c r="J669" s="1"/>
      <c r="L669" s="1"/>
      <c r="M669" s="1"/>
      <c r="N669" s="1"/>
      <c r="O669" s="2"/>
      <c r="S669" s="2"/>
      <c r="T669" s="1"/>
      <c r="Z669" s="1"/>
      <c r="AA669" s="1"/>
      <c r="AB669" s="1"/>
      <c r="AC669" s="1"/>
      <c r="AD669" s="1"/>
    </row>
    <row r="670" spans="7:30">
      <c r="G670" s="1"/>
      <c r="H670" s="1"/>
      <c r="I670" s="1"/>
      <c r="J670" s="1"/>
      <c r="L670" s="1"/>
      <c r="M670" s="1"/>
      <c r="N670" s="1"/>
      <c r="O670" s="2"/>
      <c r="S670" s="2"/>
      <c r="T670" s="1"/>
      <c r="Z670" s="1"/>
      <c r="AA670" s="1"/>
      <c r="AB670" s="1"/>
      <c r="AC670" s="1"/>
      <c r="AD670" s="1"/>
    </row>
    <row r="671" spans="7:30">
      <c r="G671" s="1"/>
      <c r="H671" s="1"/>
      <c r="I671" s="1"/>
      <c r="J671" s="1"/>
      <c r="L671" s="1"/>
      <c r="M671" s="1"/>
      <c r="N671" s="1"/>
      <c r="O671" s="2"/>
      <c r="S671" s="2"/>
      <c r="T671" s="1"/>
      <c r="Z671" s="1"/>
      <c r="AA671" s="1"/>
      <c r="AB671" s="1"/>
      <c r="AC671" s="1"/>
      <c r="AD671" s="1"/>
    </row>
    <row r="672" spans="7:30">
      <c r="G672" s="1"/>
      <c r="H672" s="1"/>
      <c r="I672" s="1"/>
      <c r="J672" s="1"/>
      <c r="L672" s="1"/>
      <c r="M672" s="1"/>
      <c r="N672" s="1"/>
      <c r="O672" s="2"/>
      <c r="S672" s="2"/>
      <c r="T672" s="1"/>
      <c r="Z672" s="1"/>
      <c r="AA672" s="1"/>
      <c r="AB672" s="1"/>
      <c r="AC672" s="1"/>
      <c r="AD672" s="1"/>
    </row>
    <row r="673" spans="7:30">
      <c r="G673" s="1"/>
      <c r="H673" s="1"/>
      <c r="I673" s="1"/>
      <c r="J673" s="1"/>
      <c r="L673" s="1"/>
      <c r="M673" s="1"/>
      <c r="N673" s="1"/>
      <c r="O673" s="2"/>
      <c r="S673" s="2"/>
      <c r="T673" s="1"/>
      <c r="Z673" s="1"/>
      <c r="AA673" s="1"/>
      <c r="AB673" s="1"/>
      <c r="AC673" s="1"/>
      <c r="AD673" s="1"/>
    </row>
    <row r="674" spans="7:30">
      <c r="G674" s="1"/>
      <c r="H674" s="1"/>
      <c r="I674" s="1"/>
      <c r="J674" s="1"/>
      <c r="L674" s="1"/>
      <c r="M674" s="1"/>
      <c r="N674" s="1"/>
      <c r="O674" s="2"/>
      <c r="S674" s="2"/>
      <c r="T674" s="1"/>
      <c r="Z674" s="1"/>
      <c r="AA674" s="1"/>
      <c r="AB674" s="1"/>
      <c r="AC674" s="1"/>
      <c r="AD674" s="1"/>
    </row>
    <row r="675" spans="7:30">
      <c r="G675" s="1"/>
      <c r="H675" s="1"/>
      <c r="I675" s="1"/>
      <c r="J675" s="1"/>
      <c r="L675" s="1"/>
      <c r="M675" s="1"/>
      <c r="N675" s="1"/>
      <c r="O675" s="2"/>
      <c r="S675" s="2"/>
      <c r="T675" s="1"/>
      <c r="Z675" s="1"/>
      <c r="AA675" s="1"/>
      <c r="AB675" s="1"/>
      <c r="AC675" s="1"/>
      <c r="AD675" s="1"/>
    </row>
    <row r="676" spans="7:30">
      <c r="G676" s="1"/>
      <c r="H676" s="1"/>
      <c r="I676" s="1"/>
      <c r="J676" s="1"/>
      <c r="L676" s="1"/>
      <c r="M676" s="1"/>
      <c r="N676" s="1"/>
      <c r="O676" s="2"/>
      <c r="S676" s="2"/>
      <c r="T676" s="1"/>
      <c r="Z676" s="1"/>
      <c r="AA676" s="1"/>
      <c r="AB676" s="1"/>
      <c r="AC676" s="1"/>
      <c r="AD676" s="1"/>
    </row>
    <row r="677" spans="7:30">
      <c r="G677" s="1"/>
      <c r="H677" s="1"/>
      <c r="I677" s="1"/>
      <c r="J677" s="1"/>
      <c r="L677" s="1"/>
      <c r="M677" s="1"/>
      <c r="N677" s="1"/>
      <c r="O677" s="2"/>
      <c r="S677" s="2"/>
      <c r="T677" s="1"/>
      <c r="Z677" s="1"/>
      <c r="AA677" s="1"/>
      <c r="AB677" s="1"/>
      <c r="AC677" s="1"/>
      <c r="AD677" s="1"/>
    </row>
    <row r="678" spans="7:30">
      <c r="G678" s="1"/>
      <c r="H678" s="1"/>
      <c r="I678" s="1"/>
      <c r="J678" s="1"/>
      <c r="L678" s="1"/>
      <c r="M678" s="1"/>
      <c r="N678" s="1"/>
      <c r="O678" s="2"/>
      <c r="S678" s="2"/>
      <c r="T678" s="1"/>
      <c r="Z678" s="1"/>
      <c r="AA678" s="1"/>
      <c r="AB678" s="1"/>
      <c r="AC678" s="1"/>
      <c r="AD678" s="1"/>
    </row>
    <row r="679" spans="7:30">
      <c r="G679" s="1"/>
      <c r="H679" s="1"/>
      <c r="I679" s="1"/>
      <c r="J679" s="1"/>
      <c r="L679" s="1"/>
      <c r="M679" s="1"/>
      <c r="N679" s="1"/>
      <c r="O679" s="2"/>
      <c r="S679" s="2"/>
      <c r="T679" s="1"/>
      <c r="Z679" s="1"/>
      <c r="AA679" s="1"/>
      <c r="AB679" s="1"/>
      <c r="AC679" s="1"/>
      <c r="AD679" s="1"/>
    </row>
    <row r="680" spans="7:30">
      <c r="G680" s="1"/>
      <c r="H680" s="1"/>
      <c r="I680" s="1"/>
      <c r="J680" s="1"/>
      <c r="L680" s="1"/>
      <c r="M680" s="1"/>
      <c r="N680" s="1"/>
      <c r="O680" s="2"/>
      <c r="S680" s="2"/>
      <c r="T680" s="1"/>
      <c r="Z680" s="1"/>
      <c r="AA680" s="1"/>
      <c r="AB680" s="1"/>
      <c r="AC680" s="1"/>
      <c r="AD680" s="1"/>
    </row>
    <row r="681" spans="7:30">
      <c r="G681" s="1"/>
      <c r="H681" s="1"/>
      <c r="I681" s="1"/>
      <c r="J681" s="1"/>
      <c r="L681" s="1"/>
      <c r="M681" s="1"/>
      <c r="N681" s="1"/>
      <c r="O681" s="2"/>
      <c r="S681" s="2"/>
      <c r="T681" s="1"/>
      <c r="Z681" s="1"/>
      <c r="AA681" s="1"/>
      <c r="AB681" s="1"/>
      <c r="AC681" s="1"/>
      <c r="AD681" s="1"/>
    </row>
    <row r="682" spans="7:30">
      <c r="G682" s="1"/>
      <c r="H682" s="1"/>
      <c r="I682" s="1"/>
      <c r="J682" s="1"/>
      <c r="L682" s="1"/>
      <c r="M682" s="1"/>
      <c r="N682" s="1"/>
      <c r="O682" s="2"/>
      <c r="S682" s="2"/>
      <c r="T682" s="1"/>
      <c r="Z682" s="1"/>
      <c r="AA682" s="1"/>
      <c r="AB682" s="1"/>
      <c r="AC682" s="1"/>
      <c r="AD682" s="1"/>
    </row>
    <row r="683" spans="7:30">
      <c r="G683" s="1"/>
      <c r="H683" s="1"/>
      <c r="I683" s="1"/>
      <c r="J683" s="1"/>
      <c r="L683" s="1"/>
      <c r="M683" s="1"/>
      <c r="N683" s="1"/>
      <c r="O683" s="2"/>
      <c r="S683" s="2"/>
      <c r="T683" s="1"/>
      <c r="Z683" s="1"/>
      <c r="AA683" s="1"/>
      <c r="AB683" s="1"/>
      <c r="AC683" s="1"/>
      <c r="AD683" s="1"/>
    </row>
    <row r="684" spans="7:30">
      <c r="G684" s="1"/>
      <c r="H684" s="1"/>
      <c r="I684" s="1"/>
      <c r="J684" s="1"/>
      <c r="L684" s="1"/>
      <c r="M684" s="1"/>
      <c r="N684" s="1"/>
      <c r="O684" s="2"/>
      <c r="S684" s="2"/>
      <c r="T684" s="1"/>
      <c r="Z684" s="1"/>
      <c r="AA684" s="1"/>
      <c r="AB684" s="1"/>
      <c r="AC684" s="1"/>
      <c r="AD684" s="1"/>
    </row>
    <row r="685" spans="7:30">
      <c r="G685" s="1"/>
      <c r="H685" s="1"/>
      <c r="I685" s="1"/>
      <c r="J685" s="1"/>
      <c r="L685" s="1"/>
      <c r="M685" s="1"/>
      <c r="N685" s="1"/>
      <c r="O685" s="2"/>
      <c r="S685" s="2"/>
      <c r="T685" s="1"/>
      <c r="Z685" s="1"/>
      <c r="AA685" s="1"/>
      <c r="AB685" s="1"/>
      <c r="AC685" s="1"/>
      <c r="AD685" s="1"/>
    </row>
    <row r="686" spans="7:30">
      <c r="G686" s="1"/>
      <c r="H686" s="1"/>
      <c r="I686" s="1"/>
      <c r="J686" s="1"/>
      <c r="L686" s="1"/>
      <c r="M686" s="1"/>
      <c r="N686" s="1"/>
      <c r="O686" s="2"/>
      <c r="S686" s="2"/>
      <c r="T686" s="1"/>
      <c r="Z686" s="1"/>
      <c r="AA686" s="1"/>
      <c r="AB686" s="1"/>
      <c r="AC686" s="1"/>
      <c r="AD686" s="1"/>
    </row>
    <row r="687" spans="7:30">
      <c r="G687" s="1"/>
      <c r="H687" s="1"/>
      <c r="I687" s="1"/>
      <c r="J687" s="1"/>
      <c r="L687" s="1"/>
      <c r="M687" s="1"/>
      <c r="N687" s="1"/>
      <c r="O687" s="2"/>
      <c r="S687" s="2"/>
      <c r="T687" s="1"/>
      <c r="Z687" s="1"/>
      <c r="AA687" s="1"/>
      <c r="AB687" s="1"/>
      <c r="AC687" s="1"/>
      <c r="AD687" s="1"/>
    </row>
    <row r="688" spans="7:30">
      <c r="G688" s="1"/>
      <c r="H688" s="1"/>
      <c r="I688" s="1"/>
      <c r="J688" s="1"/>
      <c r="L688" s="1"/>
      <c r="M688" s="1"/>
      <c r="N688" s="1"/>
      <c r="O688" s="2"/>
      <c r="S688" s="2"/>
      <c r="T688" s="1"/>
      <c r="Z688" s="1"/>
      <c r="AA688" s="1"/>
      <c r="AB688" s="1"/>
      <c r="AC688" s="1"/>
      <c r="AD688" s="1"/>
    </row>
    <row r="689" spans="7:30">
      <c r="G689" s="1"/>
      <c r="H689" s="1"/>
      <c r="I689" s="1"/>
      <c r="J689" s="1"/>
      <c r="L689" s="1"/>
      <c r="M689" s="1"/>
      <c r="N689" s="1"/>
      <c r="O689" s="2"/>
      <c r="S689" s="2"/>
      <c r="T689" s="1"/>
      <c r="Z689" s="1"/>
      <c r="AA689" s="1"/>
      <c r="AB689" s="1"/>
      <c r="AC689" s="1"/>
      <c r="AD689" s="1"/>
    </row>
    <row r="690" spans="7:30">
      <c r="G690" s="1"/>
      <c r="H690" s="1"/>
      <c r="I690" s="1"/>
      <c r="J690" s="1"/>
      <c r="L690" s="1"/>
      <c r="M690" s="1"/>
      <c r="N690" s="1"/>
      <c r="O690" s="2"/>
      <c r="S690" s="2"/>
      <c r="T690" s="1"/>
      <c r="Z690" s="1"/>
      <c r="AA690" s="1"/>
      <c r="AB690" s="1"/>
      <c r="AC690" s="1"/>
      <c r="AD690" s="1"/>
    </row>
    <row r="691" spans="7:30">
      <c r="G691" s="1"/>
      <c r="H691" s="1"/>
      <c r="I691" s="1"/>
      <c r="J691" s="1"/>
      <c r="L691" s="1"/>
      <c r="M691" s="1"/>
      <c r="N691" s="1"/>
      <c r="O691" s="2"/>
      <c r="S691" s="2"/>
      <c r="T691" s="1"/>
      <c r="Z691" s="1"/>
      <c r="AA691" s="1"/>
      <c r="AB691" s="1"/>
      <c r="AC691" s="1"/>
      <c r="AD691" s="1"/>
    </row>
    <row r="692" spans="7:30">
      <c r="G692" s="1"/>
      <c r="H692" s="1"/>
      <c r="I692" s="1"/>
      <c r="J692" s="1"/>
      <c r="L692" s="1"/>
      <c r="M692" s="1"/>
      <c r="N692" s="1"/>
      <c r="O692" s="2"/>
      <c r="S692" s="2"/>
      <c r="T692" s="1"/>
      <c r="Z692" s="1"/>
      <c r="AA692" s="1"/>
      <c r="AB692" s="1"/>
      <c r="AC692" s="1"/>
      <c r="AD692" s="1"/>
    </row>
    <row r="693" spans="7:30">
      <c r="G693" s="1"/>
      <c r="H693" s="1"/>
      <c r="I693" s="1"/>
      <c r="J693" s="1"/>
      <c r="L693" s="1"/>
      <c r="M693" s="1"/>
      <c r="N693" s="1"/>
      <c r="O693" s="2"/>
      <c r="S693" s="2"/>
      <c r="T693" s="1"/>
      <c r="Z693" s="1"/>
      <c r="AA693" s="1"/>
      <c r="AB693" s="1"/>
      <c r="AC693" s="1"/>
      <c r="AD693" s="1"/>
    </row>
    <row r="694" spans="7:30">
      <c r="G694" s="1"/>
      <c r="H694" s="1"/>
      <c r="I694" s="1"/>
      <c r="J694" s="1"/>
      <c r="L694" s="1"/>
      <c r="M694" s="1"/>
      <c r="N694" s="1"/>
      <c r="O694" s="2"/>
      <c r="S694" s="2"/>
      <c r="T694" s="1"/>
      <c r="Z694" s="1"/>
      <c r="AA694" s="1"/>
      <c r="AB694" s="1"/>
      <c r="AC694" s="1"/>
      <c r="AD694" s="1"/>
    </row>
    <row r="695" spans="7:30">
      <c r="G695" s="1"/>
      <c r="H695" s="1"/>
      <c r="I695" s="1"/>
      <c r="J695" s="1"/>
      <c r="L695" s="1"/>
      <c r="M695" s="1"/>
      <c r="N695" s="1"/>
      <c r="O695" s="2"/>
      <c r="S695" s="2"/>
      <c r="T695" s="1"/>
      <c r="Z695" s="1"/>
      <c r="AA695" s="1"/>
      <c r="AB695" s="1"/>
      <c r="AC695" s="1"/>
      <c r="AD695" s="1"/>
    </row>
    <row r="696" spans="7:30">
      <c r="G696" s="1"/>
      <c r="H696" s="1"/>
      <c r="I696" s="1"/>
      <c r="J696" s="1"/>
      <c r="L696" s="1"/>
      <c r="M696" s="1"/>
      <c r="N696" s="1"/>
      <c r="O696" s="2"/>
      <c r="S696" s="2"/>
      <c r="T696" s="1"/>
      <c r="Z696" s="1"/>
      <c r="AA696" s="1"/>
      <c r="AB696" s="1"/>
      <c r="AC696" s="1"/>
      <c r="AD696" s="1"/>
    </row>
    <row r="697" spans="7:30">
      <c r="G697" s="1"/>
      <c r="H697" s="1"/>
      <c r="I697" s="1"/>
      <c r="J697" s="1"/>
      <c r="L697" s="1"/>
      <c r="M697" s="1"/>
      <c r="N697" s="1"/>
      <c r="O697" s="2"/>
      <c r="S697" s="2"/>
      <c r="T697" s="1"/>
      <c r="Z697" s="1"/>
      <c r="AA697" s="1"/>
      <c r="AB697" s="1"/>
      <c r="AC697" s="1"/>
      <c r="AD697" s="1"/>
    </row>
    <row r="698" spans="7:30">
      <c r="G698" s="1"/>
      <c r="H698" s="1"/>
      <c r="I698" s="1"/>
      <c r="J698" s="1"/>
      <c r="L698" s="1"/>
      <c r="M698" s="1"/>
      <c r="N698" s="1"/>
      <c r="O698" s="2"/>
      <c r="S698" s="2"/>
      <c r="T698" s="1"/>
      <c r="Z698" s="1"/>
      <c r="AA698" s="1"/>
      <c r="AB698" s="1"/>
      <c r="AC698" s="1"/>
      <c r="AD698" s="1"/>
    </row>
    <row r="699" spans="7:30">
      <c r="G699" s="1"/>
      <c r="H699" s="1"/>
      <c r="I699" s="1"/>
      <c r="J699" s="1"/>
      <c r="L699" s="1"/>
      <c r="M699" s="1"/>
      <c r="N699" s="1"/>
      <c r="O699" s="2"/>
      <c r="S699" s="2"/>
      <c r="T699" s="1"/>
      <c r="Z699" s="1"/>
      <c r="AA699" s="1"/>
      <c r="AB699" s="1"/>
      <c r="AC699" s="1"/>
      <c r="AD699" s="1"/>
    </row>
    <row r="700" spans="7:30">
      <c r="G700" s="1"/>
      <c r="H700" s="1"/>
      <c r="I700" s="1"/>
      <c r="J700" s="1"/>
      <c r="L700" s="1"/>
      <c r="M700" s="1"/>
      <c r="N700" s="1"/>
      <c r="O700" s="2"/>
      <c r="S700" s="2"/>
      <c r="T700" s="1"/>
      <c r="Z700" s="1"/>
      <c r="AA700" s="1"/>
      <c r="AB700" s="1"/>
      <c r="AC700" s="1"/>
      <c r="AD700" s="1"/>
    </row>
    <row r="701" spans="7:30">
      <c r="G701" s="1"/>
      <c r="H701" s="1"/>
      <c r="I701" s="1"/>
      <c r="J701" s="1"/>
      <c r="L701" s="1"/>
      <c r="M701" s="1"/>
      <c r="N701" s="1"/>
      <c r="O701" s="2"/>
      <c r="S701" s="2"/>
      <c r="T701" s="1"/>
      <c r="Z701" s="1"/>
      <c r="AA701" s="1"/>
      <c r="AB701" s="1"/>
      <c r="AC701" s="1"/>
      <c r="AD701" s="1"/>
    </row>
    <row r="702" spans="7:30">
      <c r="G702" s="1"/>
      <c r="H702" s="1"/>
      <c r="I702" s="1"/>
      <c r="J702" s="1"/>
      <c r="L702" s="1"/>
      <c r="M702" s="1"/>
      <c r="N702" s="1"/>
      <c r="O702" s="2"/>
      <c r="S702" s="2"/>
      <c r="T702" s="1"/>
      <c r="Z702" s="1"/>
      <c r="AA702" s="1"/>
      <c r="AB702" s="1"/>
      <c r="AC702" s="1"/>
      <c r="AD702" s="1"/>
    </row>
    <row r="703" spans="7:30">
      <c r="G703" s="1"/>
      <c r="H703" s="1"/>
      <c r="I703" s="1"/>
      <c r="J703" s="1"/>
      <c r="L703" s="1"/>
      <c r="M703" s="1"/>
      <c r="N703" s="1"/>
      <c r="O703" s="2"/>
      <c r="S703" s="2"/>
      <c r="T703" s="1"/>
      <c r="Z703" s="1"/>
      <c r="AA703" s="1"/>
      <c r="AB703" s="1"/>
      <c r="AC703" s="1"/>
      <c r="AD703" s="1"/>
    </row>
    <row r="704" spans="7:30">
      <c r="G704" s="1"/>
      <c r="H704" s="1"/>
      <c r="I704" s="1"/>
      <c r="J704" s="1"/>
      <c r="L704" s="1"/>
      <c r="M704" s="1"/>
      <c r="N704" s="1"/>
      <c r="O704" s="2"/>
      <c r="S704" s="2"/>
      <c r="T704" s="1"/>
      <c r="Z704" s="1"/>
      <c r="AA704" s="1"/>
      <c r="AB704" s="1"/>
      <c r="AC704" s="1"/>
      <c r="AD704" s="1"/>
    </row>
    <row r="705" spans="7:30">
      <c r="G705" s="1"/>
      <c r="H705" s="1"/>
      <c r="I705" s="1"/>
      <c r="J705" s="1"/>
      <c r="L705" s="1"/>
      <c r="M705" s="1"/>
      <c r="N705" s="1"/>
      <c r="O705" s="2"/>
      <c r="S705" s="2"/>
      <c r="T705" s="1"/>
      <c r="Z705" s="1"/>
      <c r="AA705" s="1"/>
      <c r="AB705" s="1"/>
      <c r="AC705" s="1"/>
      <c r="AD705" s="1"/>
    </row>
    <row r="706" spans="7:30">
      <c r="G706" s="1"/>
      <c r="H706" s="1"/>
      <c r="I706" s="1"/>
      <c r="J706" s="1"/>
      <c r="L706" s="1"/>
      <c r="M706" s="1"/>
      <c r="N706" s="1"/>
      <c r="O706" s="2"/>
      <c r="S706" s="2"/>
      <c r="T706" s="1"/>
      <c r="Z706" s="1"/>
      <c r="AA706" s="1"/>
      <c r="AB706" s="1"/>
      <c r="AC706" s="1"/>
      <c r="AD706" s="1"/>
    </row>
    <row r="707" spans="7:30">
      <c r="G707" s="1"/>
      <c r="H707" s="1"/>
      <c r="I707" s="1"/>
      <c r="J707" s="1"/>
      <c r="L707" s="1"/>
      <c r="M707" s="1"/>
      <c r="N707" s="1"/>
      <c r="O707" s="2"/>
      <c r="S707" s="2"/>
      <c r="T707" s="1"/>
      <c r="Z707" s="1"/>
      <c r="AA707" s="1"/>
      <c r="AB707" s="1"/>
      <c r="AC707" s="1"/>
      <c r="AD707" s="1"/>
    </row>
    <row r="708" spans="7:30">
      <c r="G708" s="1"/>
      <c r="H708" s="1"/>
      <c r="I708" s="1"/>
      <c r="J708" s="1"/>
      <c r="L708" s="1"/>
      <c r="M708" s="1"/>
      <c r="N708" s="1"/>
      <c r="O708" s="2"/>
      <c r="S708" s="2"/>
      <c r="T708" s="1"/>
      <c r="Z708" s="1"/>
      <c r="AA708" s="1"/>
      <c r="AB708" s="1"/>
      <c r="AC708" s="1"/>
      <c r="AD708" s="1"/>
    </row>
    <row r="709" spans="7:30">
      <c r="G709" s="1"/>
      <c r="H709" s="1"/>
      <c r="I709" s="1"/>
      <c r="J709" s="1"/>
      <c r="L709" s="1"/>
      <c r="M709" s="1"/>
      <c r="N709" s="1"/>
      <c r="O709" s="2"/>
      <c r="S709" s="2"/>
      <c r="T709" s="1"/>
      <c r="Z709" s="1"/>
      <c r="AA709" s="1"/>
      <c r="AB709" s="1"/>
      <c r="AC709" s="1"/>
      <c r="AD709" s="1"/>
    </row>
    <row r="710" spans="7:30">
      <c r="G710" s="1"/>
      <c r="H710" s="1"/>
      <c r="I710" s="1"/>
      <c r="J710" s="1"/>
      <c r="L710" s="1"/>
      <c r="M710" s="1"/>
      <c r="N710" s="1"/>
      <c r="O710" s="2"/>
      <c r="S710" s="2"/>
      <c r="T710" s="1"/>
      <c r="Z710" s="1"/>
      <c r="AA710" s="1"/>
      <c r="AB710" s="1"/>
      <c r="AC710" s="1"/>
      <c r="AD710" s="1"/>
    </row>
    <row r="711" spans="7:30">
      <c r="G711" s="1"/>
      <c r="H711" s="1"/>
      <c r="I711" s="1"/>
      <c r="J711" s="1"/>
      <c r="L711" s="1"/>
      <c r="M711" s="1"/>
      <c r="N711" s="1"/>
      <c r="O711" s="2"/>
      <c r="S711" s="2"/>
      <c r="T711" s="1"/>
      <c r="Z711" s="1"/>
      <c r="AA711" s="1"/>
      <c r="AB711" s="1"/>
      <c r="AC711" s="1"/>
      <c r="AD711" s="1"/>
    </row>
    <row r="712" spans="7:30">
      <c r="G712" s="1"/>
      <c r="H712" s="1"/>
      <c r="I712" s="1"/>
      <c r="J712" s="1"/>
      <c r="L712" s="1"/>
      <c r="M712" s="1"/>
      <c r="N712" s="1"/>
      <c r="O712" s="2"/>
      <c r="S712" s="2"/>
      <c r="T712" s="1"/>
      <c r="Z712" s="1"/>
      <c r="AA712" s="1"/>
      <c r="AB712" s="1"/>
      <c r="AC712" s="1"/>
      <c r="AD712" s="1"/>
    </row>
    <row r="713" spans="7:30">
      <c r="G713" s="1"/>
      <c r="H713" s="1"/>
      <c r="I713" s="1"/>
      <c r="J713" s="1"/>
      <c r="L713" s="1"/>
      <c r="M713" s="1"/>
      <c r="N713" s="1"/>
      <c r="O713" s="2"/>
      <c r="S713" s="2"/>
      <c r="T713" s="1"/>
      <c r="Z713" s="1"/>
      <c r="AA713" s="1"/>
      <c r="AB713" s="1"/>
      <c r="AC713" s="1"/>
      <c r="AD713" s="1"/>
    </row>
    <row r="714" spans="7:30">
      <c r="G714" s="1"/>
      <c r="H714" s="1"/>
      <c r="I714" s="1"/>
      <c r="J714" s="1"/>
      <c r="L714" s="1"/>
      <c r="M714" s="1"/>
      <c r="N714" s="1"/>
      <c r="O714" s="2"/>
      <c r="S714" s="2"/>
      <c r="T714" s="1"/>
      <c r="Z714" s="1"/>
      <c r="AA714" s="1"/>
      <c r="AB714" s="1"/>
      <c r="AC714" s="1"/>
      <c r="AD714" s="1"/>
    </row>
    <row r="715" spans="7:30">
      <c r="G715" s="1"/>
      <c r="H715" s="1"/>
      <c r="I715" s="1"/>
      <c r="J715" s="1"/>
      <c r="L715" s="1"/>
      <c r="M715" s="1"/>
      <c r="N715" s="1"/>
      <c r="O715" s="2"/>
      <c r="S715" s="2"/>
      <c r="T715" s="1"/>
      <c r="Z715" s="1"/>
      <c r="AA715" s="1"/>
      <c r="AB715" s="1"/>
      <c r="AC715" s="1"/>
      <c r="AD715" s="1"/>
    </row>
    <row r="716" spans="7:30">
      <c r="G716" s="1"/>
      <c r="H716" s="1"/>
      <c r="I716" s="1"/>
      <c r="J716" s="1"/>
      <c r="L716" s="1"/>
      <c r="M716" s="1"/>
      <c r="N716" s="1"/>
      <c r="O716" s="2"/>
      <c r="S716" s="2"/>
      <c r="T716" s="1"/>
      <c r="Z716" s="1"/>
      <c r="AA716" s="1"/>
      <c r="AB716" s="1"/>
      <c r="AC716" s="1"/>
      <c r="AD716" s="1"/>
    </row>
    <row r="717" spans="7:30">
      <c r="G717" s="1"/>
      <c r="H717" s="1"/>
      <c r="I717" s="1"/>
      <c r="J717" s="1"/>
      <c r="L717" s="1"/>
      <c r="M717" s="1"/>
      <c r="N717" s="1"/>
      <c r="O717" s="2"/>
      <c r="S717" s="2"/>
      <c r="T717" s="1"/>
      <c r="Z717" s="1"/>
      <c r="AA717" s="1"/>
      <c r="AB717" s="1"/>
      <c r="AC717" s="1"/>
      <c r="AD717" s="1"/>
    </row>
    <row r="718" spans="7:30">
      <c r="G718" s="1"/>
      <c r="H718" s="1"/>
      <c r="I718" s="1"/>
      <c r="J718" s="1"/>
      <c r="L718" s="1"/>
      <c r="M718" s="1"/>
      <c r="N718" s="1"/>
      <c r="O718" s="2"/>
      <c r="S718" s="2"/>
      <c r="T718" s="1"/>
      <c r="Z718" s="1"/>
      <c r="AA718" s="1"/>
      <c r="AB718" s="1"/>
      <c r="AC718" s="1"/>
      <c r="AD718" s="1"/>
    </row>
    <row r="719" spans="7:30">
      <c r="G719" s="1"/>
      <c r="H719" s="1"/>
      <c r="I719" s="1"/>
      <c r="J719" s="1"/>
      <c r="L719" s="1"/>
      <c r="M719" s="1"/>
      <c r="N719" s="1"/>
      <c r="O719" s="2"/>
      <c r="S719" s="2"/>
      <c r="T719" s="1"/>
      <c r="Z719" s="1"/>
      <c r="AA719" s="1"/>
      <c r="AB719" s="1"/>
      <c r="AC719" s="1"/>
      <c r="AD719" s="1"/>
    </row>
    <row r="720" spans="7:30">
      <c r="G720" s="1"/>
      <c r="H720" s="1"/>
      <c r="I720" s="1"/>
      <c r="J720" s="1"/>
      <c r="L720" s="1"/>
      <c r="M720" s="1"/>
      <c r="N720" s="1"/>
      <c r="O720" s="2"/>
      <c r="S720" s="2"/>
      <c r="T720" s="1"/>
      <c r="Z720" s="1"/>
      <c r="AA720" s="1"/>
      <c r="AB720" s="1"/>
      <c r="AC720" s="1"/>
      <c r="AD720" s="1"/>
    </row>
    <row r="721" spans="7:30">
      <c r="G721" s="1"/>
      <c r="H721" s="1"/>
      <c r="I721" s="1"/>
      <c r="J721" s="1"/>
      <c r="L721" s="1"/>
      <c r="M721" s="1"/>
      <c r="N721" s="1"/>
      <c r="O721" s="2"/>
      <c r="S721" s="2"/>
      <c r="T721" s="1"/>
      <c r="Z721" s="1"/>
      <c r="AA721" s="1"/>
      <c r="AB721" s="1"/>
      <c r="AC721" s="1"/>
      <c r="AD721" s="1"/>
    </row>
    <row r="722" spans="7:30">
      <c r="G722" s="1"/>
      <c r="H722" s="1"/>
      <c r="I722" s="1"/>
      <c r="J722" s="1"/>
      <c r="L722" s="1"/>
      <c r="M722" s="1"/>
      <c r="N722" s="1"/>
      <c r="O722" s="2"/>
      <c r="S722" s="2"/>
      <c r="T722" s="1"/>
      <c r="Z722" s="1"/>
      <c r="AA722" s="1"/>
      <c r="AB722" s="1"/>
      <c r="AC722" s="1"/>
      <c r="AD722" s="1"/>
    </row>
    <row r="723" spans="7:30">
      <c r="G723" s="1"/>
      <c r="H723" s="1"/>
      <c r="I723" s="1"/>
      <c r="J723" s="1"/>
      <c r="L723" s="1"/>
      <c r="M723" s="1"/>
      <c r="N723" s="1"/>
      <c r="O723" s="2"/>
      <c r="S723" s="2"/>
      <c r="T723" s="1"/>
      <c r="Z723" s="1"/>
      <c r="AA723" s="1"/>
      <c r="AB723" s="1"/>
      <c r="AC723" s="1"/>
      <c r="AD723" s="1"/>
    </row>
    <row r="724" spans="7:30">
      <c r="G724" s="1"/>
      <c r="H724" s="1"/>
      <c r="I724" s="1"/>
      <c r="J724" s="1"/>
      <c r="L724" s="1"/>
      <c r="M724" s="1"/>
      <c r="N724" s="1"/>
      <c r="O724" s="2"/>
      <c r="S724" s="2"/>
      <c r="T724" s="1"/>
      <c r="Z724" s="1"/>
      <c r="AA724" s="1"/>
      <c r="AB724" s="1"/>
      <c r="AC724" s="1"/>
      <c r="AD724" s="1"/>
    </row>
    <row r="725" spans="7:30">
      <c r="G725" s="1"/>
      <c r="H725" s="1"/>
      <c r="I725" s="1"/>
      <c r="J725" s="1"/>
      <c r="L725" s="1"/>
      <c r="M725" s="1"/>
      <c r="N725" s="1"/>
      <c r="O725" s="2"/>
      <c r="S725" s="2"/>
      <c r="T725" s="1"/>
      <c r="Z725" s="1"/>
      <c r="AA725" s="1"/>
      <c r="AB725" s="1"/>
      <c r="AC725" s="1"/>
      <c r="AD725" s="1"/>
    </row>
    <row r="726" spans="7:30">
      <c r="G726" s="1"/>
      <c r="H726" s="1"/>
      <c r="I726" s="1"/>
      <c r="J726" s="1"/>
      <c r="L726" s="1"/>
      <c r="M726" s="1"/>
      <c r="N726" s="1"/>
      <c r="O726" s="2"/>
      <c r="S726" s="2"/>
      <c r="T726" s="1"/>
      <c r="Z726" s="1"/>
      <c r="AA726" s="1"/>
      <c r="AB726" s="1"/>
      <c r="AC726" s="1"/>
      <c r="AD726" s="1"/>
    </row>
    <row r="727" spans="7:30">
      <c r="G727" s="1"/>
      <c r="H727" s="1"/>
      <c r="I727" s="1"/>
      <c r="J727" s="1"/>
      <c r="L727" s="1"/>
      <c r="M727" s="1"/>
      <c r="N727" s="1"/>
      <c r="O727" s="2"/>
      <c r="S727" s="2"/>
      <c r="T727" s="1"/>
      <c r="Z727" s="1"/>
      <c r="AA727" s="1"/>
      <c r="AB727" s="1"/>
      <c r="AC727" s="1"/>
      <c r="AD727" s="1"/>
    </row>
    <row r="728" spans="7:30">
      <c r="G728" s="1"/>
      <c r="H728" s="1"/>
      <c r="I728" s="1"/>
      <c r="J728" s="1"/>
      <c r="L728" s="1"/>
      <c r="M728" s="1"/>
      <c r="N728" s="1"/>
      <c r="O728" s="2"/>
      <c r="S728" s="2"/>
      <c r="T728" s="1"/>
      <c r="Z728" s="1"/>
      <c r="AA728" s="1"/>
      <c r="AB728" s="1"/>
      <c r="AC728" s="1"/>
      <c r="AD728" s="1"/>
    </row>
    <row r="729" spans="7:30">
      <c r="G729" s="1"/>
      <c r="H729" s="1"/>
      <c r="I729" s="1"/>
      <c r="J729" s="1"/>
      <c r="L729" s="1"/>
      <c r="M729" s="1"/>
      <c r="N729" s="1"/>
      <c r="O729" s="2"/>
      <c r="S729" s="2"/>
      <c r="T729" s="1"/>
      <c r="Z729" s="1"/>
      <c r="AA729" s="1"/>
      <c r="AB729" s="1"/>
      <c r="AC729" s="1"/>
      <c r="AD729" s="1"/>
    </row>
    <row r="730" spans="7:30">
      <c r="G730" s="1"/>
      <c r="H730" s="1"/>
      <c r="I730" s="1"/>
      <c r="J730" s="1"/>
      <c r="L730" s="1"/>
      <c r="M730" s="1"/>
      <c r="N730" s="1"/>
      <c r="O730" s="2"/>
      <c r="S730" s="2"/>
      <c r="T730" s="1"/>
      <c r="Z730" s="1"/>
      <c r="AA730" s="1"/>
      <c r="AB730" s="1"/>
      <c r="AC730" s="1"/>
      <c r="AD730" s="1"/>
    </row>
    <row r="731" spans="7:30">
      <c r="G731" s="1"/>
      <c r="H731" s="1"/>
      <c r="I731" s="1"/>
      <c r="J731" s="1"/>
      <c r="L731" s="1"/>
      <c r="M731" s="1"/>
      <c r="N731" s="1"/>
      <c r="O731" s="2"/>
      <c r="S731" s="2"/>
      <c r="T731" s="1"/>
      <c r="Z731" s="1"/>
      <c r="AA731" s="1"/>
      <c r="AB731" s="1"/>
      <c r="AC731" s="1"/>
      <c r="AD731" s="1"/>
    </row>
    <row r="732" spans="7:30">
      <c r="G732" s="1"/>
      <c r="H732" s="1"/>
      <c r="I732" s="1"/>
      <c r="J732" s="1"/>
      <c r="L732" s="1"/>
      <c r="M732" s="1"/>
      <c r="N732" s="1"/>
      <c r="O732" s="2"/>
      <c r="S732" s="2"/>
      <c r="T732" s="1"/>
      <c r="Z732" s="1"/>
      <c r="AA732" s="1"/>
      <c r="AB732" s="1"/>
      <c r="AC732" s="1"/>
      <c r="AD732" s="1"/>
    </row>
    <row r="733" spans="7:30">
      <c r="G733" s="1"/>
      <c r="H733" s="1"/>
      <c r="I733" s="1"/>
      <c r="J733" s="1"/>
      <c r="L733" s="1"/>
      <c r="M733" s="1"/>
      <c r="N733" s="1"/>
      <c r="O733" s="2"/>
      <c r="S733" s="2"/>
      <c r="T733" s="1"/>
      <c r="Z733" s="1"/>
      <c r="AA733" s="1"/>
      <c r="AB733" s="1"/>
      <c r="AC733" s="1"/>
      <c r="AD733" s="1"/>
    </row>
    <row r="734" spans="7:30">
      <c r="G734" s="1"/>
      <c r="H734" s="1"/>
      <c r="I734" s="1"/>
      <c r="J734" s="1"/>
      <c r="L734" s="1"/>
      <c r="M734" s="1"/>
      <c r="N734" s="1"/>
      <c r="O734" s="2"/>
      <c r="S734" s="2"/>
      <c r="T734" s="1"/>
      <c r="Z734" s="1"/>
      <c r="AA734" s="1"/>
      <c r="AB734" s="1"/>
      <c r="AC734" s="1"/>
      <c r="AD734" s="1"/>
    </row>
    <row r="735" spans="7:30">
      <c r="G735" s="1"/>
      <c r="H735" s="1"/>
      <c r="I735" s="1"/>
      <c r="J735" s="1"/>
      <c r="L735" s="1"/>
      <c r="M735" s="1"/>
      <c r="N735" s="1"/>
      <c r="O735" s="2"/>
      <c r="S735" s="2"/>
      <c r="T735" s="1"/>
      <c r="Z735" s="1"/>
      <c r="AA735" s="1"/>
      <c r="AB735" s="1"/>
      <c r="AC735" s="1"/>
      <c r="AD735" s="1"/>
    </row>
    <row r="736" spans="7:30">
      <c r="G736" s="1"/>
      <c r="H736" s="1"/>
      <c r="I736" s="1"/>
      <c r="J736" s="1"/>
      <c r="L736" s="1"/>
      <c r="M736" s="1"/>
      <c r="N736" s="1"/>
      <c r="O736" s="2"/>
      <c r="S736" s="2"/>
      <c r="T736" s="1"/>
      <c r="Z736" s="1"/>
      <c r="AA736" s="1"/>
      <c r="AB736" s="1"/>
      <c r="AC736" s="1"/>
      <c r="AD736" s="1"/>
    </row>
    <row r="737" spans="7:30">
      <c r="G737" s="1"/>
      <c r="H737" s="1"/>
      <c r="I737" s="1"/>
      <c r="J737" s="1"/>
      <c r="L737" s="1"/>
      <c r="M737" s="1"/>
      <c r="N737" s="1"/>
      <c r="O737" s="2"/>
      <c r="S737" s="2"/>
      <c r="T737" s="1"/>
      <c r="Z737" s="1"/>
      <c r="AA737" s="1"/>
      <c r="AB737" s="1"/>
      <c r="AC737" s="1"/>
      <c r="AD737" s="1"/>
    </row>
    <row r="738" spans="7:30">
      <c r="G738" s="1"/>
      <c r="H738" s="1"/>
      <c r="I738" s="1"/>
      <c r="J738" s="1"/>
      <c r="L738" s="1"/>
      <c r="M738" s="1"/>
      <c r="N738" s="1"/>
      <c r="O738" s="2"/>
      <c r="S738" s="2"/>
      <c r="T738" s="1"/>
      <c r="Z738" s="1"/>
      <c r="AA738" s="1"/>
      <c r="AB738" s="1"/>
      <c r="AC738" s="1"/>
      <c r="AD738" s="1"/>
    </row>
    <row r="739" spans="7:30">
      <c r="G739" s="1"/>
      <c r="H739" s="1"/>
      <c r="I739" s="1"/>
      <c r="J739" s="1"/>
      <c r="L739" s="1"/>
      <c r="M739" s="1"/>
      <c r="N739" s="1"/>
      <c r="O739" s="2"/>
      <c r="S739" s="2"/>
      <c r="T739" s="1"/>
      <c r="Z739" s="1"/>
      <c r="AA739" s="1"/>
      <c r="AB739" s="1"/>
      <c r="AC739" s="1"/>
      <c r="AD739" s="1"/>
    </row>
    <row r="740" spans="7:30">
      <c r="G740" s="1"/>
      <c r="H740" s="1"/>
      <c r="I740" s="1"/>
      <c r="J740" s="1"/>
      <c r="L740" s="1"/>
      <c r="M740" s="1"/>
      <c r="N740" s="1"/>
      <c r="O740" s="2"/>
      <c r="S740" s="2"/>
      <c r="T740" s="1"/>
      <c r="Z740" s="1"/>
      <c r="AA740" s="1"/>
      <c r="AB740" s="1"/>
      <c r="AC740" s="1"/>
      <c r="AD740" s="1"/>
    </row>
    <row r="741" spans="7:30">
      <c r="G741" s="1"/>
      <c r="H741" s="1"/>
      <c r="I741" s="1"/>
      <c r="J741" s="1"/>
      <c r="L741" s="1"/>
      <c r="M741" s="1"/>
      <c r="N741" s="1"/>
      <c r="O741" s="2"/>
      <c r="S741" s="2"/>
      <c r="T741" s="1"/>
      <c r="Z741" s="1"/>
      <c r="AA741" s="1"/>
      <c r="AB741" s="1"/>
      <c r="AC741" s="1"/>
      <c r="AD741" s="1"/>
    </row>
    <row r="742" spans="7:30">
      <c r="G742" s="1"/>
      <c r="H742" s="1"/>
      <c r="I742" s="1"/>
      <c r="J742" s="1"/>
      <c r="L742" s="1"/>
      <c r="M742" s="1"/>
      <c r="N742" s="1"/>
      <c r="O742" s="2"/>
      <c r="S742" s="2"/>
      <c r="T742" s="1"/>
      <c r="Z742" s="1"/>
      <c r="AA742" s="1"/>
      <c r="AB742" s="1"/>
      <c r="AC742" s="1"/>
      <c r="AD742" s="1"/>
    </row>
    <row r="743" spans="7:30">
      <c r="G743" s="1"/>
      <c r="H743" s="1"/>
      <c r="I743" s="1"/>
      <c r="J743" s="1"/>
      <c r="L743" s="1"/>
      <c r="M743" s="1"/>
      <c r="N743" s="1"/>
      <c r="O743" s="2"/>
      <c r="S743" s="2"/>
      <c r="T743" s="1"/>
      <c r="Z743" s="1"/>
      <c r="AA743" s="1"/>
      <c r="AB743" s="1"/>
      <c r="AC743" s="1"/>
      <c r="AD743" s="1"/>
    </row>
    <row r="744" spans="7:30">
      <c r="G744" s="1"/>
      <c r="H744" s="1"/>
      <c r="I744" s="1"/>
      <c r="J744" s="1"/>
      <c r="L744" s="1"/>
      <c r="M744" s="1"/>
      <c r="N744" s="1"/>
      <c r="O744" s="2"/>
      <c r="S744" s="2"/>
      <c r="T744" s="1"/>
      <c r="Z744" s="1"/>
      <c r="AA744" s="1"/>
      <c r="AB744" s="1"/>
      <c r="AC744" s="1"/>
      <c r="AD744" s="1"/>
    </row>
    <row r="745" spans="7:30">
      <c r="G745" s="1"/>
      <c r="H745" s="1"/>
      <c r="I745" s="1"/>
      <c r="J745" s="1"/>
      <c r="L745" s="1"/>
      <c r="M745" s="1"/>
      <c r="N745" s="1"/>
      <c r="O745" s="2"/>
      <c r="S745" s="2"/>
      <c r="T745" s="1"/>
      <c r="Z745" s="1"/>
      <c r="AA745" s="1"/>
      <c r="AB745" s="1"/>
      <c r="AC745" s="1"/>
      <c r="AD745" s="1"/>
    </row>
    <row r="746" spans="7:30">
      <c r="G746" s="1"/>
      <c r="H746" s="1"/>
      <c r="I746" s="1"/>
      <c r="J746" s="1"/>
      <c r="L746" s="1"/>
      <c r="M746" s="1"/>
      <c r="N746" s="1"/>
      <c r="O746" s="2"/>
      <c r="S746" s="2"/>
      <c r="T746" s="1"/>
      <c r="Z746" s="1"/>
      <c r="AA746" s="1"/>
      <c r="AB746" s="1"/>
      <c r="AC746" s="1"/>
      <c r="AD746" s="1"/>
    </row>
    <row r="747" spans="7:30">
      <c r="G747" s="1"/>
      <c r="H747" s="1"/>
      <c r="I747" s="1"/>
      <c r="J747" s="1"/>
      <c r="L747" s="1"/>
      <c r="M747" s="1"/>
      <c r="N747" s="1"/>
      <c r="O747" s="2"/>
      <c r="S747" s="2"/>
      <c r="T747" s="1"/>
      <c r="Z747" s="1"/>
      <c r="AA747" s="1"/>
      <c r="AB747" s="1"/>
      <c r="AC747" s="1"/>
      <c r="AD747" s="1"/>
    </row>
    <row r="748" spans="7:30">
      <c r="G748" s="1"/>
      <c r="H748" s="1"/>
      <c r="I748" s="1"/>
      <c r="J748" s="1"/>
      <c r="L748" s="1"/>
      <c r="M748" s="1"/>
      <c r="N748" s="1"/>
      <c r="O748" s="2"/>
      <c r="S748" s="2"/>
      <c r="T748" s="1"/>
      <c r="Z748" s="1"/>
      <c r="AA748" s="1"/>
      <c r="AB748" s="1"/>
      <c r="AC748" s="1"/>
      <c r="AD748" s="1"/>
    </row>
    <row r="749" spans="7:30">
      <c r="G749" s="1"/>
      <c r="H749" s="1"/>
      <c r="I749" s="1"/>
      <c r="J749" s="1"/>
      <c r="L749" s="1"/>
      <c r="M749" s="1"/>
      <c r="N749" s="1"/>
      <c r="O749" s="2"/>
      <c r="S749" s="2"/>
      <c r="T749" s="1"/>
      <c r="Z749" s="1"/>
      <c r="AA749" s="1"/>
      <c r="AB749" s="1"/>
      <c r="AC749" s="1"/>
      <c r="AD749" s="1"/>
    </row>
    <row r="750" spans="7:30">
      <c r="G750" s="1"/>
      <c r="H750" s="1"/>
      <c r="I750" s="1"/>
      <c r="J750" s="1"/>
      <c r="L750" s="1"/>
      <c r="M750" s="1"/>
      <c r="N750" s="1"/>
      <c r="O750" s="2"/>
      <c r="S750" s="2"/>
      <c r="T750" s="1"/>
      <c r="Z750" s="1"/>
      <c r="AA750" s="1"/>
      <c r="AB750" s="1"/>
      <c r="AC750" s="1"/>
      <c r="AD750" s="1"/>
    </row>
    <row r="751" spans="7:30">
      <c r="G751" s="1"/>
      <c r="H751" s="1"/>
      <c r="I751" s="1"/>
      <c r="J751" s="1"/>
      <c r="L751" s="1"/>
      <c r="M751" s="1"/>
      <c r="N751" s="1"/>
      <c r="O751" s="2"/>
      <c r="S751" s="2"/>
      <c r="T751" s="1"/>
      <c r="Z751" s="1"/>
      <c r="AA751" s="1"/>
      <c r="AB751" s="1"/>
      <c r="AC751" s="1"/>
      <c r="AD751" s="1"/>
    </row>
    <row r="752" spans="7:30">
      <c r="G752" s="1"/>
      <c r="H752" s="1"/>
      <c r="I752" s="1"/>
      <c r="J752" s="1"/>
      <c r="L752" s="1"/>
      <c r="M752" s="1"/>
      <c r="N752" s="1"/>
      <c r="O752" s="2"/>
      <c r="S752" s="2"/>
      <c r="T752" s="1"/>
      <c r="Z752" s="1"/>
      <c r="AA752" s="1"/>
      <c r="AB752" s="1"/>
      <c r="AC752" s="1"/>
      <c r="AD752" s="1"/>
    </row>
    <row r="753" spans="7:30">
      <c r="G753" s="1"/>
      <c r="H753" s="1"/>
      <c r="I753" s="1"/>
      <c r="J753" s="1"/>
      <c r="L753" s="1"/>
      <c r="M753" s="1"/>
      <c r="N753" s="1"/>
      <c r="O753" s="2"/>
      <c r="S753" s="2"/>
      <c r="T753" s="1"/>
      <c r="Z753" s="1"/>
      <c r="AA753" s="1"/>
      <c r="AB753" s="1"/>
      <c r="AC753" s="1"/>
      <c r="AD753" s="1"/>
    </row>
    <row r="754" spans="7:30">
      <c r="G754" s="1"/>
      <c r="H754" s="1"/>
      <c r="I754" s="1"/>
      <c r="J754" s="1"/>
      <c r="L754" s="1"/>
      <c r="M754" s="1"/>
      <c r="N754" s="1"/>
      <c r="O754" s="2"/>
      <c r="S754" s="2"/>
      <c r="T754" s="1"/>
      <c r="Z754" s="1"/>
      <c r="AA754" s="1"/>
      <c r="AB754" s="1"/>
      <c r="AC754" s="1"/>
      <c r="AD754" s="1"/>
    </row>
    <row r="755" spans="7:30">
      <c r="G755" s="1"/>
      <c r="H755" s="1"/>
      <c r="I755" s="1"/>
      <c r="J755" s="1"/>
      <c r="L755" s="1"/>
      <c r="M755" s="1"/>
      <c r="N755" s="1"/>
      <c r="O755" s="2"/>
      <c r="S755" s="2"/>
      <c r="T755" s="1"/>
      <c r="Z755" s="1"/>
      <c r="AA755" s="1"/>
      <c r="AB755" s="1"/>
      <c r="AC755" s="1"/>
      <c r="AD755" s="1"/>
    </row>
    <row r="756" spans="7:30">
      <c r="G756" s="1"/>
      <c r="H756" s="1"/>
      <c r="I756" s="1"/>
      <c r="J756" s="1"/>
      <c r="L756" s="1"/>
      <c r="M756" s="1"/>
      <c r="N756" s="1"/>
      <c r="O756" s="2"/>
      <c r="S756" s="2"/>
      <c r="T756" s="1"/>
      <c r="Z756" s="1"/>
      <c r="AA756" s="1"/>
      <c r="AB756" s="1"/>
      <c r="AC756" s="1"/>
      <c r="AD756" s="1"/>
    </row>
    <row r="757" spans="7:30">
      <c r="G757" s="1"/>
      <c r="H757" s="1"/>
      <c r="I757" s="1"/>
      <c r="J757" s="1"/>
      <c r="L757" s="1"/>
      <c r="M757" s="1"/>
      <c r="N757" s="1"/>
      <c r="O757" s="2"/>
      <c r="S757" s="2"/>
      <c r="T757" s="1"/>
      <c r="Z757" s="1"/>
      <c r="AA757" s="1"/>
      <c r="AB757" s="1"/>
      <c r="AC757" s="1"/>
      <c r="AD757" s="1"/>
    </row>
    <row r="758" spans="7:30">
      <c r="G758" s="1"/>
      <c r="H758" s="1"/>
      <c r="I758" s="1"/>
      <c r="J758" s="1"/>
      <c r="L758" s="1"/>
      <c r="M758" s="1"/>
      <c r="N758" s="1"/>
      <c r="O758" s="2"/>
      <c r="S758" s="2"/>
      <c r="T758" s="1"/>
      <c r="Z758" s="1"/>
      <c r="AA758" s="1"/>
      <c r="AB758" s="1"/>
      <c r="AC758" s="1"/>
      <c r="AD758" s="1"/>
    </row>
    <row r="759" spans="7:30">
      <c r="G759" s="1"/>
      <c r="H759" s="1"/>
      <c r="I759" s="1"/>
      <c r="J759" s="1"/>
      <c r="L759" s="1"/>
      <c r="M759" s="1"/>
      <c r="N759" s="1"/>
      <c r="O759" s="2"/>
      <c r="S759" s="2"/>
      <c r="T759" s="1"/>
      <c r="Z759" s="1"/>
      <c r="AA759" s="1"/>
      <c r="AB759" s="1"/>
      <c r="AC759" s="1"/>
      <c r="AD759" s="1"/>
    </row>
    <row r="760" spans="7:30">
      <c r="G760" s="1"/>
      <c r="H760" s="1"/>
      <c r="I760" s="1"/>
      <c r="J760" s="1"/>
      <c r="L760" s="1"/>
      <c r="M760" s="1"/>
      <c r="N760" s="1"/>
      <c r="O760" s="2"/>
      <c r="S760" s="2"/>
      <c r="T760" s="1"/>
      <c r="Z760" s="1"/>
      <c r="AA760" s="1"/>
      <c r="AB760" s="1"/>
      <c r="AC760" s="1"/>
      <c r="AD760" s="1"/>
    </row>
    <row r="761" spans="7:30">
      <c r="G761" s="1"/>
      <c r="H761" s="1"/>
      <c r="I761" s="1"/>
      <c r="J761" s="1"/>
      <c r="L761" s="1"/>
      <c r="M761" s="1"/>
      <c r="N761" s="1"/>
      <c r="O761" s="2"/>
      <c r="S761" s="2"/>
      <c r="T761" s="1"/>
      <c r="Z761" s="1"/>
      <c r="AA761" s="1"/>
      <c r="AB761" s="1"/>
      <c r="AC761" s="1"/>
      <c r="AD761" s="1"/>
    </row>
    <row r="762" spans="7:30">
      <c r="G762" s="1"/>
      <c r="H762" s="1"/>
      <c r="I762" s="1"/>
      <c r="J762" s="1"/>
      <c r="L762" s="1"/>
      <c r="M762" s="1"/>
      <c r="N762" s="1"/>
      <c r="O762" s="2"/>
      <c r="S762" s="2"/>
      <c r="T762" s="1"/>
      <c r="Z762" s="1"/>
      <c r="AA762" s="1"/>
      <c r="AB762" s="1"/>
      <c r="AC762" s="1"/>
      <c r="AD762" s="1"/>
    </row>
    <row r="763" spans="7:30">
      <c r="G763" s="1"/>
      <c r="H763" s="1"/>
      <c r="I763" s="1"/>
      <c r="J763" s="1"/>
      <c r="L763" s="1"/>
      <c r="M763" s="1"/>
      <c r="N763" s="1"/>
      <c r="O763" s="2"/>
      <c r="S763" s="2"/>
      <c r="T763" s="1"/>
      <c r="Z763" s="1"/>
      <c r="AA763" s="1"/>
      <c r="AB763" s="1"/>
      <c r="AC763" s="1"/>
      <c r="AD763" s="1"/>
    </row>
    <row r="764" spans="7:30">
      <c r="G764" s="1"/>
      <c r="H764" s="1"/>
      <c r="I764" s="1"/>
      <c r="J764" s="1"/>
      <c r="L764" s="1"/>
      <c r="M764" s="1"/>
      <c r="N764" s="1"/>
      <c r="O764" s="2"/>
      <c r="S764" s="2"/>
      <c r="T764" s="1"/>
      <c r="Z764" s="1"/>
      <c r="AA764" s="1"/>
      <c r="AB764" s="1"/>
      <c r="AC764" s="1"/>
      <c r="AD764" s="1"/>
    </row>
    <row r="765" spans="7:30">
      <c r="G765" s="1"/>
      <c r="H765" s="1"/>
      <c r="I765" s="1"/>
      <c r="J765" s="1"/>
      <c r="L765" s="1"/>
      <c r="M765" s="1"/>
      <c r="N765" s="1"/>
      <c r="O765" s="2"/>
      <c r="S765" s="2"/>
      <c r="T765" s="1"/>
      <c r="Z765" s="1"/>
      <c r="AA765" s="1"/>
      <c r="AB765" s="1"/>
      <c r="AC765" s="1"/>
      <c r="AD765" s="1"/>
    </row>
    <row r="766" spans="7:30">
      <c r="G766" s="1"/>
      <c r="H766" s="1"/>
      <c r="I766" s="1"/>
      <c r="J766" s="1"/>
      <c r="L766" s="1"/>
      <c r="M766" s="1"/>
      <c r="N766" s="1"/>
      <c r="O766" s="2"/>
      <c r="S766" s="2"/>
      <c r="T766" s="1"/>
      <c r="Z766" s="1"/>
      <c r="AA766" s="1"/>
      <c r="AB766" s="1"/>
      <c r="AC766" s="1"/>
      <c r="AD766" s="1"/>
    </row>
    <row r="767" spans="7:30">
      <c r="G767" s="1"/>
      <c r="H767" s="1"/>
      <c r="I767" s="1"/>
      <c r="J767" s="1"/>
      <c r="L767" s="1"/>
      <c r="M767" s="1"/>
      <c r="N767" s="1"/>
      <c r="O767" s="2"/>
      <c r="S767" s="2"/>
      <c r="T767" s="1"/>
      <c r="Z767" s="1"/>
      <c r="AA767" s="1"/>
      <c r="AB767" s="1"/>
      <c r="AC767" s="1"/>
      <c r="AD767" s="1"/>
    </row>
    <row r="768" spans="7:30">
      <c r="G768" s="1"/>
      <c r="H768" s="1"/>
      <c r="I768" s="1"/>
      <c r="J768" s="1"/>
      <c r="L768" s="1"/>
      <c r="M768" s="1"/>
      <c r="N768" s="1"/>
      <c r="O768" s="2"/>
      <c r="S768" s="2"/>
      <c r="T768" s="1"/>
      <c r="Z768" s="1"/>
      <c r="AA768" s="1"/>
      <c r="AB768" s="1"/>
      <c r="AC768" s="1"/>
      <c r="AD768" s="1"/>
    </row>
    <row r="769" spans="7:30">
      <c r="G769" s="1"/>
      <c r="H769" s="1"/>
      <c r="I769" s="1"/>
      <c r="J769" s="1"/>
      <c r="L769" s="1"/>
      <c r="M769" s="1"/>
      <c r="N769" s="1"/>
      <c r="O769" s="2"/>
      <c r="S769" s="2"/>
      <c r="T769" s="1"/>
      <c r="Z769" s="1"/>
      <c r="AA769" s="1"/>
      <c r="AB769" s="1"/>
      <c r="AC769" s="1"/>
      <c r="AD769" s="1"/>
    </row>
    <row r="770" spans="7:30">
      <c r="G770" s="1"/>
      <c r="H770" s="1"/>
      <c r="I770" s="1"/>
      <c r="J770" s="1"/>
      <c r="L770" s="1"/>
      <c r="M770" s="1"/>
      <c r="N770" s="1"/>
      <c r="O770" s="2"/>
      <c r="S770" s="2"/>
      <c r="T770" s="1"/>
      <c r="Z770" s="1"/>
      <c r="AA770" s="1"/>
      <c r="AB770" s="1"/>
      <c r="AC770" s="1"/>
      <c r="AD770" s="1"/>
    </row>
    <row r="771" spans="7:30">
      <c r="G771" s="1"/>
      <c r="H771" s="1"/>
      <c r="I771" s="1"/>
      <c r="J771" s="1"/>
      <c r="L771" s="1"/>
      <c r="M771" s="1"/>
      <c r="N771" s="1"/>
      <c r="O771" s="2"/>
      <c r="S771" s="2"/>
      <c r="T771" s="1"/>
      <c r="Z771" s="1"/>
      <c r="AA771" s="1"/>
      <c r="AB771" s="1"/>
      <c r="AC771" s="1"/>
      <c r="AD771" s="1"/>
    </row>
    <row r="772" spans="7:30">
      <c r="G772" s="1"/>
      <c r="H772" s="1"/>
      <c r="I772" s="1"/>
      <c r="J772" s="1"/>
      <c r="L772" s="1"/>
      <c r="M772" s="1"/>
      <c r="N772" s="1"/>
      <c r="O772" s="2"/>
      <c r="S772" s="2"/>
      <c r="T772" s="1"/>
      <c r="Z772" s="1"/>
      <c r="AA772" s="1"/>
      <c r="AB772" s="1"/>
      <c r="AC772" s="1"/>
      <c r="AD772" s="1"/>
    </row>
    <row r="773" spans="7:30">
      <c r="G773" s="1"/>
      <c r="H773" s="1"/>
      <c r="I773" s="1"/>
      <c r="J773" s="1"/>
      <c r="L773" s="1"/>
      <c r="M773" s="1"/>
      <c r="N773" s="1"/>
      <c r="O773" s="2"/>
      <c r="S773" s="2"/>
      <c r="T773" s="1"/>
      <c r="Z773" s="1"/>
      <c r="AA773" s="1"/>
      <c r="AB773" s="1"/>
      <c r="AC773" s="1"/>
      <c r="AD773" s="1"/>
    </row>
    <row r="774" spans="7:30">
      <c r="G774" s="1"/>
      <c r="H774" s="1"/>
      <c r="I774" s="1"/>
      <c r="J774" s="1"/>
      <c r="L774" s="1"/>
      <c r="M774" s="1"/>
      <c r="N774" s="1"/>
      <c r="O774" s="2"/>
      <c r="S774" s="2"/>
      <c r="T774" s="1"/>
      <c r="Z774" s="1"/>
      <c r="AA774" s="1"/>
      <c r="AB774" s="1"/>
      <c r="AC774" s="1"/>
      <c r="AD774" s="1"/>
    </row>
    <row r="775" spans="7:30">
      <c r="G775" s="1"/>
      <c r="H775" s="1"/>
      <c r="I775" s="1"/>
      <c r="J775" s="1"/>
      <c r="L775" s="1"/>
      <c r="M775" s="1"/>
      <c r="N775" s="1"/>
      <c r="O775" s="2"/>
      <c r="S775" s="2"/>
      <c r="T775" s="1"/>
      <c r="Z775" s="1"/>
      <c r="AA775" s="1"/>
      <c r="AB775" s="1"/>
      <c r="AC775" s="1"/>
      <c r="AD775" s="1"/>
    </row>
    <row r="776" spans="7:30">
      <c r="G776" s="1"/>
      <c r="H776" s="1"/>
      <c r="I776" s="1"/>
      <c r="J776" s="1"/>
      <c r="L776" s="1"/>
      <c r="M776" s="1"/>
      <c r="N776" s="1"/>
      <c r="O776" s="2"/>
      <c r="S776" s="2"/>
      <c r="T776" s="1"/>
      <c r="Z776" s="1"/>
      <c r="AA776" s="1"/>
      <c r="AB776" s="1"/>
      <c r="AC776" s="1"/>
      <c r="AD776" s="1"/>
    </row>
    <row r="777" spans="7:30">
      <c r="G777" s="1"/>
      <c r="H777" s="1"/>
      <c r="I777" s="1"/>
      <c r="J777" s="1"/>
      <c r="L777" s="1"/>
      <c r="M777" s="1"/>
      <c r="N777" s="1"/>
      <c r="O777" s="2"/>
      <c r="S777" s="2"/>
      <c r="T777" s="1"/>
      <c r="Z777" s="1"/>
      <c r="AA777" s="1"/>
      <c r="AB777" s="1"/>
      <c r="AC777" s="1"/>
      <c r="AD777" s="1"/>
    </row>
    <row r="778" spans="7:30">
      <c r="G778" s="1"/>
      <c r="H778" s="1"/>
      <c r="I778" s="1"/>
      <c r="J778" s="1"/>
      <c r="L778" s="1"/>
      <c r="M778" s="1"/>
      <c r="N778" s="1"/>
      <c r="O778" s="2"/>
      <c r="S778" s="2"/>
      <c r="T778" s="1"/>
      <c r="Z778" s="1"/>
      <c r="AA778" s="1"/>
      <c r="AB778" s="1"/>
      <c r="AC778" s="1"/>
      <c r="AD778" s="1"/>
    </row>
    <row r="779" spans="7:30">
      <c r="G779" s="1"/>
      <c r="H779" s="1"/>
      <c r="I779" s="1"/>
      <c r="J779" s="1"/>
      <c r="L779" s="1"/>
      <c r="M779" s="1"/>
      <c r="N779" s="1"/>
      <c r="O779" s="2"/>
      <c r="S779" s="2"/>
      <c r="T779" s="1"/>
      <c r="Z779" s="1"/>
      <c r="AA779" s="1"/>
      <c r="AB779" s="1"/>
      <c r="AC779" s="1"/>
      <c r="AD779" s="1"/>
    </row>
    <row r="780" spans="7:30">
      <c r="G780" s="1"/>
      <c r="H780" s="1"/>
      <c r="I780" s="1"/>
      <c r="J780" s="1"/>
      <c r="L780" s="1"/>
      <c r="M780" s="1"/>
      <c r="N780" s="1"/>
      <c r="O780" s="2"/>
      <c r="S780" s="2"/>
      <c r="T780" s="1"/>
      <c r="Z780" s="1"/>
      <c r="AA780" s="1"/>
      <c r="AB780" s="1"/>
      <c r="AC780" s="1"/>
      <c r="AD780" s="1"/>
    </row>
    <row r="781" spans="7:30">
      <c r="G781" s="1"/>
      <c r="H781" s="1"/>
      <c r="I781" s="1"/>
      <c r="J781" s="1"/>
      <c r="L781" s="1"/>
      <c r="M781" s="1"/>
      <c r="N781" s="1"/>
      <c r="O781" s="2"/>
      <c r="S781" s="2"/>
      <c r="T781" s="1"/>
      <c r="Z781" s="1"/>
      <c r="AA781" s="1"/>
      <c r="AB781" s="1"/>
      <c r="AC781" s="1"/>
      <c r="AD781" s="1"/>
    </row>
    <row r="782" spans="7:30">
      <c r="G782" s="1"/>
      <c r="H782" s="1"/>
      <c r="I782" s="1"/>
      <c r="J782" s="1"/>
      <c r="L782" s="1"/>
      <c r="M782" s="1"/>
      <c r="N782" s="1"/>
      <c r="O782" s="2"/>
      <c r="S782" s="2"/>
      <c r="T782" s="1"/>
      <c r="Z782" s="1"/>
      <c r="AA782" s="1"/>
      <c r="AB782" s="1"/>
      <c r="AC782" s="1"/>
      <c r="AD782" s="1"/>
    </row>
    <row r="783" spans="7:30">
      <c r="G783" s="1"/>
      <c r="H783" s="1"/>
      <c r="I783" s="1"/>
      <c r="J783" s="1"/>
      <c r="L783" s="1"/>
      <c r="M783" s="1"/>
      <c r="N783" s="1"/>
      <c r="O783" s="2"/>
      <c r="S783" s="2"/>
      <c r="T783" s="1"/>
      <c r="Z783" s="1"/>
      <c r="AA783" s="1"/>
      <c r="AB783" s="1"/>
      <c r="AC783" s="1"/>
      <c r="AD783" s="1"/>
    </row>
    <row r="784" spans="7:30">
      <c r="G784" s="1"/>
      <c r="H784" s="1"/>
      <c r="I784" s="1"/>
      <c r="J784" s="1"/>
      <c r="L784" s="1"/>
      <c r="M784" s="1"/>
      <c r="N784" s="1"/>
      <c r="O784" s="2"/>
      <c r="S784" s="2"/>
      <c r="T784" s="1"/>
      <c r="Z784" s="1"/>
      <c r="AA784" s="1"/>
      <c r="AB784" s="1"/>
      <c r="AC784" s="1"/>
      <c r="AD784" s="1"/>
    </row>
    <row r="785" spans="7:30">
      <c r="G785" s="1"/>
      <c r="H785" s="1"/>
      <c r="I785" s="1"/>
      <c r="J785" s="1"/>
      <c r="L785" s="1"/>
      <c r="M785" s="1"/>
      <c r="N785" s="1"/>
      <c r="O785" s="2"/>
      <c r="S785" s="2"/>
      <c r="T785" s="1"/>
      <c r="Z785" s="1"/>
      <c r="AA785" s="1"/>
      <c r="AB785" s="1"/>
      <c r="AC785" s="1"/>
      <c r="AD785" s="1"/>
    </row>
    <row r="786" spans="7:30">
      <c r="G786" s="1"/>
      <c r="H786" s="1"/>
      <c r="I786" s="1"/>
      <c r="J786" s="1"/>
      <c r="L786" s="1"/>
      <c r="M786" s="1"/>
      <c r="N786" s="1"/>
      <c r="O786" s="2"/>
      <c r="S786" s="2"/>
      <c r="T786" s="1"/>
      <c r="Z786" s="1"/>
      <c r="AA786" s="1"/>
      <c r="AB786" s="1"/>
      <c r="AC786" s="1"/>
      <c r="AD786" s="1"/>
    </row>
    <row r="787" spans="7:30">
      <c r="G787" s="1"/>
      <c r="H787" s="1"/>
      <c r="I787" s="1"/>
      <c r="J787" s="1"/>
      <c r="L787" s="1"/>
      <c r="M787" s="1"/>
      <c r="N787" s="1"/>
      <c r="O787" s="2"/>
      <c r="S787" s="2"/>
      <c r="T787" s="1"/>
      <c r="Z787" s="1"/>
      <c r="AA787" s="1"/>
      <c r="AB787" s="1"/>
      <c r="AC787" s="1"/>
      <c r="AD787" s="1"/>
    </row>
    <row r="788" spans="7:30">
      <c r="G788" s="1"/>
      <c r="H788" s="1"/>
      <c r="I788" s="1"/>
      <c r="J788" s="1"/>
      <c r="L788" s="1"/>
      <c r="M788" s="1"/>
      <c r="N788" s="1"/>
      <c r="O788" s="2"/>
      <c r="S788" s="2"/>
      <c r="T788" s="1"/>
      <c r="Z788" s="1"/>
      <c r="AA788" s="1"/>
      <c r="AB788" s="1"/>
      <c r="AC788" s="1"/>
      <c r="AD788" s="1"/>
    </row>
    <row r="789" spans="7:30">
      <c r="G789" s="1"/>
      <c r="H789" s="1"/>
      <c r="I789" s="1"/>
      <c r="J789" s="1"/>
      <c r="L789" s="1"/>
      <c r="M789" s="1"/>
      <c r="N789" s="1"/>
      <c r="O789" s="2"/>
      <c r="S789" s="2"/>
      <c r="T789" s="1"/>
      <c r="Z789" s="1"/>
      <c r="AA789" s="1"/>
      <c r="AB789" s="1"/>
      <c r="AC789" s="1"/>
      <c r="AD789" s="1"/>
    </row>
    <row r="790" spans="7:30">
      <c r="G790" s="1"/>
      <c r="H790" s="1"/>
      <c r="I790" s="1"/>
      <c r="J790" s="1"/>
      <c r="L790" s="1"/>
      <c r="M790" s="1"/>
      <c r="N790" s="1"/>
      <c r="O790" s="2"/>
      <c r="S790" s="2"/>
      <c r="T790" s="1"/>
      <c r="Z790" s="1"/>
      <c r="AA790" s="1"/>
      <c r="AB790" s="1"/>
      <c r="AC790" s="1"/>
      <c r="AD790" s="1"/>
    </row>
    <row r="791" spans="7:30">
      <c r="G791" s="1"/>
      <c r="H791" s="1"/>
      <c r="I791" s="1"/>
      <c r="J791" s="1"/>
      <c r="L791" s="1"/>
      <c r="M791" s="1"/>
      <c r="N791" s="1"/>
      <c r="O791" s="2"/>
      <c r="S791" s="2"/>
      <c r="T791" s="1"/>
      <c r="Z791" s="1"/>
      <c r="AA791" s="1"/>
      <c r="AB791" s="1"/>
      <c r="AC791" s="1"/>
      <c r="AD791" s="1"/>
    </row>
    <row r="792" spans="7:30">
      <c r="G792" s="1"/>
      <c r="H792" s="1"/>
      <c r="I792" s="1"/>
      <c r="J792" s="1"/>
      <c r="L792" s="1"/>
      <c r="M792" s="1"/>
      <c r="N792" s="1"/>
      <c r="O792" s="2"/>
      <c r="S792" s="2"/>
      <c r="T792" s="1"/>
      <c r="Z792" s="1"/>
      <c r="AA792" s="1"/>
      <c r="AB792" s="1"/>
      <c r="AC792" s="1"/>
      <c r="AD792" s="1"/>
    </row>
    <row r="793" spans="7:30">
      <c r="G793" s="1"/>
      <c r="H793" s="1"/>
      <c r="I793" s="1"/>
      <c r="J793" s="1"/>
      <c r="L793" s="1"/>
      <c r="M793" s="1"/>
      <c r="N793" s="1"/>
      <c r="O793" s="2"/>
      <c r="S793" s="2"/>
      <c r="T793" s="1"/>
      <c r="Z793" s="1"/>
      <c r="AA793" s="1"/>
      <c r="AB793" s="1"/>
      <c r="AC793" s="1"/>
      <c r="AD793" s="1"/>
    </row>
    <row r="794" spans="7:30">
      <c r="G794" s="1"/>
      <c r="H794" s="1"/>
      <c r="I794" s="1"/>
      <c r="J794" s="1"/>
      <c r="L794" s="1"/>
      <c r="M794" s="1"/>
      <c r="N794" s="1"/>
      <c r="O794" s="2"/>
      <c r="S794" s="2"/>
      <c r="T794" s="1"/>
      <c r="Z794" s="1"/>
      <c r="AA794" s="1"/>
      <c r="AB794" s="1"/>
      <c r="AC794" s="1"/>
      <c r="AD794" s="1"/>
    </row>
    <row r="795" spans="7:30">
      <c r="G795" s="1"/>
      <c r="H795" s="1"/>
      <c r="I795" s="1"/>
      <c r="J795" s="1"/>
      <c r="L795" s="1"/>
      <c r="M795" s="1"/>
      <c r="N795" s="1"/>
      <c r="O795" s="2"/>
      <c r="S795" s="2"/>
      <c r="T795" s="1"/>
      <c r="Z795" s="1"/>
      <c r="AA795" s="1"/>
      <c r="AB795" s="1"/>
      <c r="AC795" s="1"/>
      <c r="AD795" s="1"/>
    </row>
    <row r="796" spans="7:30">
      <c r="G796" s="1"/>
      <c r="H796" s="1"/>
      <c r="I796" s="1"/>
      <c r="J796" s="1"/>
      <c r="L796" s="1"/>
      <c r="M796" s="1"/>
      <c r="N796" s="1"/>
      <c r="O796" s="2"/>
      <c r="S796" s="2"/>
      <c r="T796" s="1"/>
      <c r="Z796" s="1"/>
      <c r="AA796" s="1"/>
      <c r="AB796" s="1"/>
      <c r="AC796" s="1"/>
      <c r="AD796" s="1"/>
    </row>
    <row r="797" spans="7:30">
      <c r="G797" s="1"/>
      <c r="H797" s="1"/>
      <c r="I797" s="1"/>
      <c r="J797" s="1"/>
      <c r="L797" s="1"/>
      <c r="M797" s="1"/>
      <c r="N797" s="1"/>
      <c r="O797" s="2"/>
      <c r="S797" s="2"/>
      <c r="T797" s="1"/>
      <c r="Z797" s="1"/>
      <c r="AA797" s="1"/>
      <c r="AB797" s="1"/>
      <c r="AC797" s="1"/>
      <c r="AD797" s="1"/>
    </row>
    <row r="798" spans="7:30">
      <c r="G798" s="1"/>
      <c r="H798" s="1"/>
      <c r="I798" s="1"/>
      <c r="J798" s="1"/>
      <c r="L798" s="1"/>
      <c r="M798" s="1"/>
      <c r="N798" s="1"/>
      <c r="O798" s="2"/>
      <c r="S798" s="2"/>
      <c r="T798" s="1"/>
      <c r="Z798" s="1"/>
      <c r="AA798" s="1"/>
      <c r="AB798" s="1"/>
      <c r="AC798" s="1"/>
      <c r="AD798" s="1"/>
    </row>
    <row r="799" spans="7:30">
      <c r="G799" s="1"/>
      <c r="H799" s="1"/>
      <c r="I799" s="1"/>
      <c r="J799" s="1"/>
      <c r="L799" s="1"/>
      <c r="M799" s="1"/>
      <c r="N799" s="1"/>
      <c r="O799" s="2"/>
      <c r="S799" s="2"/>
      <c r="T799" s="1"/>
      <c r="Z799" s="1"/>
      <c r="AA799" s="1"/>
      <c r="AB799" s="1"/>
      <c r="AC799" s="1"/>
      <c r="AD799" s="1"/>
    </row>
    <row r="800" spans="7:30">
      <c r="G800" s="1"/>
      <c r="H800" s="1"/>
      <c r="I800" s="1"/>
      <c r="J800" s="1"/>
      <c r="L800" s="1"/>
      <c r="M800" s="1"/>
      <c r="N800" s="1"/>
      <c r="O800" s="2"/>
      <c r="S800" s="2"/>
      <c r="T800" s="1"/>
      <c r="Z800" s="1"/>
      <c r="AA800" s="1"/>
      <c r="AB800" s="1"/>
      <c r="AC800" s="1"/>
      <c r="AD800" s="1"/>
    </row>
    <row r="801" spans="7:30">
      <c r="G801" s="1"/>
      <c r="H801" s="1"/>
      <c r="I801" s="1"/>
      <c r="J801" s="1"/>
      <c r="L801" s="1"/>
      <c r="M801" s="1"/>
      <c r="N801" s="1"/>
      <c r="O801" s="2"/>
      <c r="S801" s="2"/>
      <c r="T801" s="1"/>
      <c r="Z801" s="1"/>
      <c r="AA801" s="1"/>
      <c r="AB801" s="1"/>
      <c r="AC801" s="1"/>
      <c r="AD801" s="1"/>
    </row>
    <row r="802" spans="7:30">
      <c r="G802" s="1"/>
      <c r="H802" s="1"/>
      <c r="I802" s="1"/>
      <c r="J802" s="1"/>
      <c r="L802" s="1"/>
      <c r="M802" s="1"/>
      <c r="N802" s="1"/>
      <c r="O802" s="2"/>
      <c r="S802" s="2"/>
      <c r="T802" s="1"/>
      <c r="Z802" s="1"/>
      <c r="AA802" s="1"/>
      <c r="AB802" s="1"/>
      <c r="AC802" s="1"/>
      <c r="AD802" s="1"/>
    </row>
    <row r="803" spans="7:30">
      <c r="G803" s="1"/>
      <c r="H803" s="1"/>
      <c r="I803" s="1"/>
      <c r="J803" s="1"/>
      <c r="L803" s="1"/>
      <c r="M803" s="1"/>
      <c r="N803" s="1"/>
      <c r="O803" s="2"/>
      <c r="S803" s="2"/>
      <c r="T803" s="1"/>
      <c r="Z803" s="1"/>
      <c r="AA803" s="1"/>
      <c r="AB803" s="1"/>
      <c r="AC803" s="1"/>
      <c r="AD803" s="1"/>
    </row>
    <row r="804" spans="7:30">
      <c r="G804" s="1"/>
      <c r="H804" s="1"/>
      <c r="I804" s="1"/>
      <c r="J804" s="1"/>
      <c r="L804" s="1"/>
      <c r="M804" s="1"/>
      <c r="N804" s="1"/>
      <c r="O804" s="2"/>
      <c r="S804" s="2"/>
      <c r="T804" s="1"/>
      <c r="Z804" s="1"/>
      <c r="AA804" s="1"/>
      <c r="AB804" s="1"/>
      <c r="AC804" s="1"/>
      <c r="AD804" s="1"/>
    </row>
    <row r="805" spans="7:30">
      <c r="G805" s="1"/>
      <c r="H805" s="1"/>
      <c r="I805" s="1"/>
      <c r="J805" s="1"/>
      <c r="L805" s="1"/>
      <c r="M805" s="1"/>
      <c r="N805" s="1"/>
      <c r="O805" s="2"/>
      <c r="S805" s="2"/>
      <c r="T805" s="1"/>
      <c r="Z805" s="1"/>
      <c r="AA805" s="1"/>
      <c r="AB805" s="1"/>
      <c r="AC805" s="1"/>
      <c r="AD805" s="1"/>
    </row>
    <row r="806" spans="7:30">
      <c r="G806" s="1"/>
      <c r="H806" s="1"/>
      <c r="I806" s="1"/>
      <c r="J806" s="1"/>
      <c r="L806" s="1"/>
      <c r="M806" s="1"/>
      <c r="N806" s="1"/>
      <c r="O806" s="2"/>
      <c r="S806" s="2"/>
      <c r="T806" s="1"/>
      <c r="Z806" s="1"/>
      <c r="AA806" s="1"/>
      <c r="AB806" s="1"/>
      <c r="AC806" s="1"/>
      <c r="AD806" s="1"/>
    </row>
    <row r="807" spans="7:30">
      <c r="G807" s="1"/>
      <c r="H807" s="1"/>
      <c r="I807" s="1"/>
      <c r="J807" s="1"/>
      <c r="L807" s="1"/>
      <c r="M807" s="1"/>
      <c r="N807" s="1"/>
      <c r="O807" s="2"/>
      <c r="S807" s="2"/>
      <c r="T807" s="1"/>
      <c r="Z807" s="1"/>
      <c r="AA807" s="1"/>
      <c r="AB807" s="1"/>
      <c r="AC807" s="1"/>
      <c r="AD807" s="1"/>
    </row>
    <row r="808" spans="7:30">
      <c r="G808" s="1"/>
      <c r="H808" s="1"/>
      <c r="I808" s="1"/>
      <c r="J808" s="1"/>
      <c r="L808" s="1"/>
      <c r="M808" s="1"/>
      <c r="N808" s="1"/>
      <c r="O808" s="2"/>
      <c r="S808" s="2"/>
      <c r="T808" s="1"/>
      <c r="Z808" s="1"/>
      <c r="AA808" s="1"/>
      <c r="AB808" s="1"/>
      <c r="AC808" s="1"/>
      <c r="AD808" s="1"/>
    </row>
    <row r="809" spans="7:30">
      <c r="G809" s="1"/>
      <c r="H809" s="1"/>
      <c r="I809" s="1"/>
      <c r="J809" s="1"/>
      <c r="L809" s="1"/>
      <c r="M809" s="1"/>
      <c r="N809" s="1"/>
      <c r="O809" s="2"/>
      <c r="S809" s="2"/>
      <c r="T809" s="1"/>
      <c r="Z809" s="1"/>
      <c r="AA809" s="1"/>
      <c r="AB809" s="1"/>
      <c r="AC809" s="1"/>
      <c r="AD809" s="1"/>
    </row>
    <row r="810" spans="7:30">
      <c r="G810" s="1"/>
      <c r="H810" s="1"/>
      <c r="I810" s="1"/>
      <c r="J810" s="1"/>
      <c r="L810" s="1"/>
      <c r="M810" s="1"/>
      <c r="N810" s="1"/>
      <c r="O810" s="2"/>
      <c r="S810" s="2"/>
      <c r="T810" s="1"/>
      <c r="Z810" s="1"/>
      <c r="AA810" s="1"/>
      <c r="AB810" s="1"/>
      <c r="AC810" s="1"/>
      <c r="AD810" s="1"/>
    </row>
    <row r="811" spans="7:30">
      <c r="G811" s="1"/>
      <c r="H811" s="1"/>
      <c r="I811" s="1"/>
      <c r="J811" s="1"/>
      <c r="L811" s="1"/>
      <c r="M811" s="1"/>
      <c r="N811" s="1"/>
      <c r="O811" s="2"/>
      <c r="S811" s="2"/>
      <c r="T811" s="1"/>
      <c r="Z811" s="1"/>
      <c r="AA811" s="1"/>
      <c r="AB811" s="1"/>
      <c r="AC811" s="1"/>
      <c r="AD811" s="1"/>
    </row>
    <row r="812" spans="7:30">
      <c r="G812" s="1"/>
      <c r="H812" s="1"/>
      <c r="I812" s="1"/>
      <c r="J812" s="1"/>
      <c r="L812" s="1"/>
      <c r="M812" s="1"/>
      <c r="N812" s="1"/>
      <c r="O812" s="2"/>
      <c r="S812" s="2"/>
      <c r="T812" s="1"/>
      <c r="Z812" s="1"/>
      <c r="AA812" s="1"/>
      <c r="AB812" s="1"/>
      <c r="AC812" s="1"/>
      <c r="AD812" s="1"/>
    </row>
    <row r="813" spans="7:30">
      <c r="G813" s="1"/>
      <c r="H813" s="1"/>
      <c r="I813" s="1"/>
      <c r="J813" s="1"/>
      <c r="L813" s="1"/>
      <c r="M813" s="1"/>
      <c r="N813" s="1"/>
      <c r="O813" s="2"/>
      <c r="S813" s="2"/>
      <c r="T813" s="1"/>
      <c r="Z813" s="1"/>
      <c r="AA813" s="1"/>
      <c r="AB813" s="1"/>
      <c r="AC813" s="1"/>
      <c r="AD813" s="1"/>
    </row>
    <row r="814" spans="7:30">
      <c r="G814" s="1"/>
      <c r="H814" s="1"/>
      <c r="I814" s="1"/>
      <c r="J814" s="1"/>
      <c r="L814" s="1"/>
      <c r="M814" s="1"/>
      <c r="N814" s="1"/>
      <c r="O814" s="2"/>
      <c r="S814" s="2"/>
      <c r="T814" s="1"/>
      <c r="Z814" s="1"/>
      <c r="AA814" s="1"/>
      <c r="AB814" s="1"/>
      <c r="AC814" s="1"/>
      <c r="AD814" s="1"/>
    </row>
    <row r="815" spans="7:30">
      <c r="G815" s="1"/>
      <c r="H815" s="1"/>
      <c r="I815" s="1"/>
      <c r="J815" s="1"/>
      <c r="L815" s="1"/>
      <c r="M815" s="1"/>
      <c r="N815" s="1"/>
      <c r="O815" s="2"/>
      <c r="S815" s="2"/>
      <c r="T815" s="1"/>
      <c r="Z815" s="1"/>
      <c r="AA815" s="1"/>
      <c r="AB815" s="1"/>
      <c r="AC815" s="1"/>
      <c r="AD815" s="1"/>
    </row>
    <row r="816" spans="7:30">
      <c r="G816" s="1"/>
      <c r="H816" s="1"/>
      <c r="I816" s="1"/>
      <c r="J816" s="1"/>
      <c r="L816" s="1"/>
      <c r="M816" s="1"/>
      <c r="N816" s="1"/>
      <c r="O816" s="2"/>
      <c r="S816" s="2"/>
      <c r="T816" s="1"/>
      <c r="Z816" s="1"/>
      <c r="AA816" s="1"/>
      <c r="AB816" s="1"/>
      <c r="AC816" s="1"/>
      <c r="AD816" s="1"/>
    </row>
    <row r="817" spans="7:30">
      <c r="G817" s="1"/>
      <c r="H817" s="1"/>
      <c r="I817" s="1"/>
      <c r="J817" s="1"/>
      <c r="L817" s="1"/>
      <c r="M817" s="1"/>
      <c r="N817" s="1"/>
      <c r="O817" s="2"/>
      <c r="S817" s="2"/>
      <c r="T817" s="1"/>
      <c r="Z817" s="1"/>
      <c r="AA817" s="1"/>
      <c r="AB817" s="1"/>
      <c r="AC817" s="1"/>
      <c r="AD817" s="1"/>
    </row>
    <row r="818" spans="7:30">
      <c r="G818" s="1"/>
      <c r="H818" s="1"/>
      <c r="I818" s="1"/>
      <c r="J818" s="1"/>
      <c r="L818" s="1"/>
      <c r="M818" s="1"/>
      <c r="N818" s="1"/>
      <c r="O818" s="2"/>
      <c r="S818" s="2"/>
      <c r="T818" s="1"/>
      <c r="Z818" s="1"/>
      <c r="AA818" s="1"/>
      <c r="AB818" s="1"/>
      <c r="AC818" s="1"/>
      <c r="AD818" s="1"/>
    </row>
    <row r="819" spans="7:30">
      <c r="G819" s="1"/>
      <c r="H819" s="1"/>
      <c r="I819" s="1"/>
      <c r="J819" s="1"/>
      <c r="L819" s="1"/>
      <c r="M819" s="1"/>
      <c r="N819" s="1"/>
      <c r="O819" s="2"/>
      <c r="S819" s="2"/>
      <c r="T819" s="1"/>
      <c r="Z819" s="1"/>
      <c r="AA819" s="1"/>
      <c r="AB819" s="1"/>
      <c r="AC819" s="1"/>
      <c r="AD819" s="1"/>
    </row>
    <row r="820" spans="7:30">
      <c r="G820" s="1"/>
      <c r="H820" s="1"/>
      <c r="I820" s="1"/>
      <c r="J820" s="1"/>
      <c r="L820" s="1"/>
      <c r="M820" s="1"/>
      <c r="N820" s="1"/>
      <c r="O820" s="2"/>
      <c r="S820" s="2"/>
      <c r="T820" s="1"/>
      <c r="Z820" s="1"/>
      <c r="AA820" s="1"/>
      <c r="AB820" s="1"/>
      <c r="AC820" s="1"/>
      <c r="AD820" s="1"/>
    </row>
    <row r="821" spans="7:30">
      <c r="G821" s="1"/>
      <c r="H821" s="1"/>
      <c r="I821" s="1"/>
      <c r="J821" s="1"/>
      <c r="L821" s="1"/>
      <c r="M821" s="1"/>
      <c r="N821" s="1"/>
      <c r="O821" s="2"/>
      <c r="S821" s="2"/>
      <c r="T821" s="1"/>
      <c r="Z821" s="1"/>
      <c r="AA821" s="1"/>
      <c r="AB821" s="1"/>
      <c r="AC821" s="1"/>
      <c r="AD821" s="1"/>
    </row>
    <row r="822" spans="7:30">
      <c r="G822" s="1"/>
      <c r="H822" s="1"/>
      <c r="I822" s="1"/>
      <c r="J822" s="1"/>
      <c r="L822" s="1"/>
      <c r="M822" s="1"/>
      <c r="N822" s="1"/>
      <c r="O822" s="2"/>
      <c r="S822" s="2"/>
      <c r="T822" s="1"/>
      <c r="Z822" s="1"/>
      <c r="AA822" s="1"/>
      <c r="AB822" s="1"/>
      <c r="AC822" s="1"/>
      <c r="AD822" s="1"/>
    </row>
    <row r="823" spans="7:30">
      <c r="G823" s="1"/>
      <c r="H823" s="1"/>
      <c r="I823" s="1"/>
      <c r="J823" s="1"/>
      <c r="L823" s="1"/>
      <c r="M823" s="1"/>
      <c r="N823" s="1"/>
      <c r="O823" s="2"/>
      <c r="S823" s="2"/>
      <c r="T823" s="1"/>
      <c r="Z823" s="1"/>
      <c r="AA823" s="1"/>
      <c r="AB823" s="1"/>
      <c r="AC823" s="1"/>
      <c r="AD823" s="1"/>
    </row>
    <row r="824" spans="7:30">
      <c r="G824" s="1"/>
      <c r="H824" s="1"/>
      <c r="I824" s="1"/>
      <c r="J824" s="1"/>
      <c r="L824" s="1"/>
      <c r="M824" s="1"/>
      <c r="N824" s="1"/>
      <c r="O824" s="2"/>
      <c r="S824" s="2"/>
      <c r="T824" s="1"/>
      <c r="Z824" s="1"/>
      <c r="AA824" s="1"/>
      <c r="AB824" s="1"/>
      <c r="AC824" s="1"/>
      <c r="AD824" s="1"/>
    </row>
    <row r="825" spans="7:30">
      <c r="G825" s="1"/>
      <c r="H825" s="1"/>
      <c r="I825" s="1"/>
      <c r="J825" s="1"/>
      <c r="L825" s="1"/>
      <c r="M825" s="1"/>
      <c r="N825" s="1"/>
      <c r="O825" s="2"/>
      <c r="S825" s="2"/>
      <c r="T825" s="1"/>
      <c r="Z825" s="1"/>
      <c r="AA825" s="1"/>
      <c r="AB825" s="1"/>
      <c r="AC825" s="1"/>
      <c r="AD825" s="1"/>
    </row>
    <row r="826" spans="7:30">
      <c r="G826" s="1"/>
      <c r="H826" s="1"/>
      <c r="I826" s="1"/>
      <c r="J826" s="1"/>
      <c r="L826" s="1"/>
      <c r="M826" s="1"/>
      <c r="N826" s="1"/>
      <c r="O826" s="2"/>
      <c r="S826" s="2"/>
      <c r="T826" s="1"/>
      <c r="Z826" s="1"/>
      <c r="AA826" s="1"/>
      <c r="AB826" s="1"/>
      <c r="AC826" s="1"/>
      <c r="AD826" s="1"/>
    </row>
    <row r="827" spans="7:30">
      <c r="G827" s="1"/>
      <c r="H827" s="1"/>
      <c r="I827" s="1"/>
      <c r="J827" s="1"/>
      <c r="L827" s="1"/>
      <c r="M827" s="1"/>
      <c r="N827" s="1"/>
      <c r="O827" s="2"/>
      <c r="S827" s="2"/>
      <c r="T827" s="1"/>
      <c r="Z827" s="1"/>
      <c r="AA827" s="1"/>
      <c r="AB827" s="1"/>
      <c r="AC827" s="1"/>
      <c r="AD827" s="1"/>
    </row>
    <row r="828" spans="7:30">
      <c r="G828" s="1"/>
      <c r="H828" s="1"/>
      <c r="I828" s="1"/>
      <c r="J828" s="1"/>
      <c r="L828" s="1"/>
      <c r="M828" s="1"/>
      <c r="N828" s="1"/>
      <c r="O828" s="2"/>
      <c r="S828" s="2"/>
      <c r="T828" s="1"/>
      <c r="Z828" s="1"/>
      <c r="AA828" s="1"/>
      <c r="AB828" s="1"/>
      <c r="AC828" s="1"/>
      <c r="AD828" s="1"/>
    </row>
    <row r="829" spans="7:30">
      <c r="G829" s="1"/>
      <c r="H829" s="1"/>
      <c r="I829" s="1"/>
      <c r="J829" s="1"/>
      <c r="L829" s="1"/>
      <c r="M829" s="1"/>
      <c r="N829" s="1"/>
      <c r="O829" s="2"/>
      <c r="S829" s="2"/>
      <c r="T829" s="1"/>
      <c r="Z829" s="1"/>
      <c r="AA829" s="1"/>
      <c r="AB829" s="1"/>
      <c r="AC829" s="1"/>
      <c r="AD829" s="1"/>
    </row>
    <row r="830" spans="7:30">
      <c r="G830" s="1"/>
      <c r="H830" s="1"/>
      <c r="I830" s="1"/>
      <c r="J830" s="1"/>
      <c r="L830" s="1"/>
      <c r="M830" s="1"/>
      <c r="N830" s="1"/>
      <c r="O830" s="2"/>
      <c r="S830" s="2"/>
      <c r="T830" s="1"/>
      <c r="Z830" s="1"/>
      <c r="AA830" s="1"/>
      <c r="AB830" s="1"/>
      <c r="AC830" s="1"/>
      <c r="AD830" s="1"/>
    </row>
    <row r="831" spans="7:30">
      <c r="G831" s="1"/>
      <c r="H831" s="1"/>
      <c r="I831" s="1"/>
      <c r="J831" s="1"/>
      <c r="L831" s="1"/>
      <c r="M831" s="1"/>
      <c r="N831" s="1"/>
      <c r="O831" s="2"/>
      <c r="S831" s="2"/>
      <c r="T831" s="1"/>
      <c r="Z831" s="1"/>
      <c r="AA831" s="1"/>
      <c r="AB831" s="1"/>
      <c r="AC831" s="1"/>
      <c r="AD831" s="1"/>
    </row>
    <row r="832" spans="7:30">
      <c r="G832" s="1"/>
      <c r="H832" s="1"/>
      <c r="I832" s="1"/>
      <c r="J832" s="1"/>
      <c r="L832" s="1"/>
      <c r="M832" s="1"/>
      <c r="N832" s="1"/>
      <c r="O832" s="2"/>
      <c r="S832" s="2"/>
      <c r="T832" s="1"/>
      <c r="Z832" s="1"/>
      <c r="AA832" s="1"/>
      <c r="AB832" s="1"/>
      <c r="AC832" s="1"/>
      <c r="AD832" s="1"/>
    </row>
    <row r="833" spans="7:30">
      <c r="G833" s="1"/>
      <c r="H833" s="1"/>
      <c r="I833" s="1"/>
      <c r="J833" s="1"/>
      <c r="L833" s="1"/>
      <c r="M833" s="1"/>
      <c r="N833" s="1"/>
      <c r="O833" s="2"/>
      <c r="S833" s="2"/>
      <c r="T833" s="1"/>
      <c r="Z833" s="1"/>
      <c r="AA833" s="1"/>
      <c r="AB833" s="1"/>
      <c r="AC833" s="1"/>
      <c r="AD833" s="1"/>
    </row>
    <row r="834" spans="7:30">
      <c r="G834" s="1"/>
      <c r="H834" s="1"/>
      <c r="I834" s="1"/>
      <c r="J834" s="1"/>
      <c r="L834" s="1"/>
      <c r="M834" s="1"/>
      <c r="N834" s="1"/>
      <c r="O834" s="2"/>
      <c r="S834" s="2"/>
      <c r="T834" s="1"/>
      <c r="Z834" s="1"/>
      <c r="AA834" s="1"/>
      <c r="AB834" s="1"/>
      <c r="AC834" s="1"/>
      <c r="AD834" s="1"/>
    </row>
    <row r="835" spans="7:30">
      <c r="G835" s="1"/>
      <c r="H835" s="1"/>
      <c r="I835" s="1"/>
      <c r="J835" s="1"/>
      <c r="L835" s="1"/>
      <c r="M835" s="1"/>
      <c r="N835" s="1"/>
      <c r="O835" s="2"/>
      <c r="S835" s="2"/>
      <c r="T835" s="1"/>
      <c r="Z835" s="1"/>
      <c r="AA835" s="1"/>
      <c r="AB835" s="1"/>
      <c r="AC835" s="1"/>
      <c r="AD835" s="1"/>
    </row>
    <row r="836" spans="7:30">
      <c r="G836" s="1"/>
      <c r="H836" s="1"/>
      <c r="I836" s="1"/>
      <c r="J836" s="1"/>
      <c r="L836" s="1"/>
      <c r="M836" s="1"/>
      <c r="N836" s="1"/>
      <c r="O836" s="2"/>
      <c r="S836" s="2"/>
      <c r="T836" s="1"/>
      <c r="Z836" s="1"/>
      <c r="AA836" s="1"/>
      <c r="AB836" s="1"/>
      <c r="AC836" s="1"/>
      <c r="AD836" s="1"/>
    </row>
    <row r="837" spans="7:30">
      <c r="G837" s="1"/>
      <c r="H837" s="1"/>
      <c r="I837" s="1"/>
      <c r="J837" s="1"/>
      <c r="L837" s="1"/>
      <c r="M837" s="1"/>
      <c r="N837" s="1"/>
      <c r="O837" s="2"/>
      <c r="S837" s="2"/>
      <c r="T837" s="1"/>
      <c r="Z837" s="1"/>
      <c r="AA837" s="1"/>
      <c r="AB837" s="1"/>
      <c r="AC837" s="1"/>
      <c r="AD837" s="1"/>
    </row>
    <row r="838" spans="7:30">
      <c r="G838" s="1"/>
      <c r="H838" s="1"/>
      <c r="I838" s="1"/>
      <c r="J838" s="1"/>
      <c r="L838" s="1"/>
      <c r="M838" s="1"/>
      <c r="N838" s="1"/>
      <c r="O838" s="2"/>
      <c r="S838" s="2"/>
      <c r="T838" s="1"/>
      <c r="Z838" s="1"/>
      <c r="AA838" s="1"/>
      <c r="AB838" s="1"/>
      <c r="AC838" s="1"/>
      <c r="AD838" s="1"/>
    </row>
    <row r="839" spans="7:30">
      <c r="G839" s="1"/>
      <c r="H839" s="1"/>
      <c r="I839" s="1"/>
      <c r="J839" s="1"/>
      <c r="L839" s="1"/>
      <c r="M839" s="1"/>
      <c r="N839" s="1"/>
      <c r="O839" s="2"/>
      <c r="S839" s="2"/>
      <c r="T839" s="1"/>
      <c r="Z839" s="1"/>
      <c r="AA839" s="1"/>
      <c r="AB839" s="1"/>
      <c r="AC839" s="1"/>
      <c r="AD839" s="1"/>
    </row>
    <row r="840" spans="7:30">
      <c r="G840" s="1"/>
      <c r="H840" s="1"/>
      <c r="I840" s="1"/>
      <c r="J840" s="1"/>
      <c r="L840" s="1"/>
      <c r="M840" s="1"/>
      <c r="N840" s="1"/>
      <c r="O840" s="2"/>
      <c r="S840" s="2"/>
      <c r="T840" s="1"/>
      <c r="Z840" s="1"/>
      <c r="AA840" s="1"/>
      <c r="AB840" s="1"/>
      <c r="AC840" s="1"/>
      <c r="AD840" s="1"/>
    </row>
    <row r="841" spans="7:30">
      <c r="G841" s="1"/>
      <c r="H841" s="1"/>
      <c r="I841" s="1"/>
      <c r="J841" s="1"/>
      <c r="L841" s="1"/>
      <c r="M841" s="1"/>
      <c r="N841" s="1"/>
      <c r="O841" s="2"/>
      <c r="S841" s="2"/>
      <c r="T841" s="1"/>
      <c r="Z841" s="1"/>
      <c r="AA841" s="1"/>
      <c r="AB841" s="1"/>
      <c r="AC841" s="1"/>
      <c r="AD841" s="1"/>
    </row>
    <row r="842" spans="7:30">
      <c r="G842" s="1"/>
      <c r="H842" s="1"/>
      <c r="I842" s="1"/>
      <c r="J842" s="1"/>
      <c r="L842" s="1"/>
      <c r="M842" s="1"/>
      <c r="N842" s="1"/>
      <c r="O842" s="2"/>
      <c r="S842" s="2"/>
      <c r="T842" s="1"/>
      <c r="Z842" s="1"/>
      <c r="AA842" s="1"/>
      <c r="AB842" s="1"/>
      <c r="AC842" s="1"/>
      <c r="AD842" s="1"/>
    </row>
    <row r="843" spans="7:30">
      <c r="G843" s="1"/>
      <c r="H843" s="1"/>
      <c r="I843" s="1"/>
      <c r="J843" s="1"/>
      <c r="L843" s="1"/>
      <c r="M843" s="1"/>
      <c r="N843" s="1"/>
      <c r="O843" s="2"/>
      <c r="S843" s="2"/>
      <c r="T843" s="1"/>
      <c r="Z843" s="1"/>
      <c r="AA843" s="1"/>
      <c r="AB843" s="1"/>
      <c r="AC843" s="1"/>
      <c r="AD843" s="1"/>
    </row>
    <row r="844" spans="7:30">
      <c r="G844" s="1"/>
      <c r="H844" s="1"/>
      <c r="I844" s="1"/>
      <c r="J844" s="1"/>
      <c r="L844" s="1"/>
      <c r="M844" s="1"/>
      <c r="N844" s="1"/>
      <c r="O844" s="2"/>
      <c r="S844" s="2"/>
      <c r="T844" s="1"/>
      <c r="Z844" s="1"/>
      <c r="AA844" s="1"/>
      <c r="AB844" s="1"/>
      <c r="AC844" s="1"/>
      <c r="AD844" s="1"/>
    </row>
    <row r="845" spans="7:30">
      <c r="G845" s="1"/>
      <c r="H845" s="1"/>
      <c r="I845" s="1"/>
      <c r="J845" s="1"/>
      <c r="L845" s="1"/>
      <c r="M845" s="1"/>
      <c r="N845" s="1"/>
      <c r="O845" s="2"/>
      <c r="S845" s="2"/>
      <c r="T845" s="1"/>
      <c r="Z845" s="1"/>
      <c r="AA845" s="1"/>
      <c r="AB845" s="1"/>
      <c r="AC845" s="1"/>
      <c r="AD845" s="1"/>
    </row>
    <row r="846" spans="7:30">
      <c r="G846" s="1"/>
      <c r="H846" s="1"/>
      <c r="I846" s="1"/>
      <c r="J846" s="1"/>
      <c r="L846" s="1"/>
      <c r="M846" s="1"/>
      <c r="N846" s="1"/>
      <c r="O846" s="2"/>
      <c r="S846" s="2"/>
      <c r="T846" s="1"/>
      <c r="Z846" s="1"/>
      <c r="AA846" s="1"/>
      <c r="AB846" s="1"/>
      <c r="AC846" s="1"/>
      <c r="AD846" s="1"/>
    </row>
    <row r="847" spans="7:30">
      <c r="G847" s="1"/>
      <c r="H847" s="1"/>
      <c r="I847" s="1"/>
      <c r="J847" s="1"/>
      <c r="L847" s="1"/>
      <c r="M847" s="1"/>
      <c r="N847" s="1"/>
      <c r="O847" s="2"/>
      <c r="S847" s="2"/>
      <c r="T847" s="1"/>
      <c r="Z847" s="1"/>
      <c r="AA847" s="1"/>
      <c r="AB847" s="1"/>
      <c r="AC847" s="1"/>
      <c r="AD847" s="1"/>
    </row>
    <row r="848" spans="7:30">
      <c r="G848" s="1"/>
      <c r="H848" s="1"/>
      <c r="I848" s="1"/>
      <c r="J848" s="1"/>
      <c r="L848" s="1"/>
      <c r="M848" s="1"/>
      <c r="N848" s="1"/>
      <c r="O848" s="2"/>
      <c r="S848" s="2"/>
      <c r="T848" s="1"/>
      <c r="Z848" s="1"/>
      <c r="AA848" s="1"/>
      <c r="AB848" s="1"/>
      <c r="AC848" s="1"/>
      <c r="AD848" s="1"/>
    </row>
    <row r="849" spans="7:30">
      <c r="G849" s="1"/>
      <c r="H849" s="1"/>
      <c r="I849" s="1"/>
      <c r="J849" s="1"/>
      <c r="L849" s="1"/>
      <c r="M849" s="1"/>
      <c r="N849" s="1"/>
      <c r="O849" s="2"/>
      <c r="S849" s="2"/>
      <c r="T849" s="1"/>
      <c r="Z849" s="1"/>
      <c r="AA849" s="1"/>
      <c r="AB849" s="1"/>
      <c r="AC849" s="1"/>
      <c r="AD849" s="1"/>
    </row>
    <row r="850" spans="7:30">
      <c r="G850" s="1"/>
      <c r="H850" s="1"/>
      <c r="I850" s="1"/>
      <c r="J850" s="1"/>
      <c r="L850" s="1"/>
      <c r="M850" s="1"/>
      <c r="N850" s="1"/>
      <c r="O850" s="2"/>
      <c r="S850" s="2"/>
      <c r="T850" s="1"/>
      <c r="Z850" s="1"/>
      <c r="AA850" s="1"/>
      <c r="AB850" s="1"/>
      <c r="AC850" s="1"/>
      <c r="AD850" s="1"/>
    </row>
    <row r="851" spans="7:30">
      <c r="G851" s="1"/>
      <c r="H851" s="1"/>
      <c r="I851" s="1"/>
      <c r="J851" s="1"/>
      <c r="L851" s="1"/>
      <c r="M851" s="1"/>
      <c r="N851" s="1"/>
      <c r="O851" s="2"/>
      <c r="S851" s="2"/>
      <c r="T851" s="1"/>
      <c r="Z851" s="1"/>
      <c r="AA851" s="1"/>
      <c r="AB851" s="1"/>
      <c r="AC851" s="1"/>
      <c r="AD851" s="1"/>
    </row>
    <row r="852" spans="7:30">
      <c r="G852" s="1"/>
      <c r="H852" s="1"/>
      <c r="I852" s="1"/>
      <c r="J852" s="1"/>
      <c r="L852" s="1"/>
      <c r="M852" s="1"/>
      <c r="N852" s="1"/>
      <c r="O852" s="2"/>
      <c r="S852" s="2"/>
      <c r="T852" s="1"/>
      <c r="Z852" s="1"/>
      <c r="AA852" s="1"/>
      <c r="AB852" s="1"/>
      <c r="AC852" s="1"/>
      <c r="AD852" s="1"/>
    </row>
    <row r="853" spans="7:30">
      <c r="G853" s="1"/>
      <c r="H853" s="1"/>
      <c r="I853" s="1"/>
      <c r="J853" s="1"/>
      <c r="L853" s="1"/>
      <c r="M853" s="1"/>
      <c r="N853" s="1"/>
      <c r="O853" s="2"/>
      <c r="S853" s="2"/>
      <c r="T853" s="1"/>
      <c r="Z853" s="1"/>
      <c r="AA853" s="1"/>
      <c r="AB853" s="1"/>
      <c r="AC853" s="1"/>
      <c r="AD853" s="1"/>
    </row>
    <row r="854" spans="7:30">
      <c r="G854" s="1"/>
      <c r="H854" s="1"/>
      <c r="I854" s="1"/>
      <c r="J854" s="1"/>
      <c r="L854" s="1"/>
      <c r="M854" s="1"/>
      <c r="N854" s="1"/>
      <c r="O854" s="2"/>
      <c r="S854" s="2"/>
      <c r="T854" s="1"/>
      <c r="Z854" s="1"/>
      <c r="AA854" s="1"/>
      <c r="AB854" s="1"/>
      <c r="AC854" s="1"/>
      <c r="AD854" s="1"/>
    </row>
    <row r="855" spans="7:30">
      <c r="G855" s="1"/>
      <c r="H855" s="1"/>
      <c r="I855" s="1"/>
      <c r="J855" s="1"/>
      <c r="L855" s="1"/>
      <c r="M855" s="1"/>
      <c r="N855" s="1"/>
      <c r="O855" s="2"/>
      <c r="S855" s="2"/>
      <c r="T855" s="1"/>
      <c r="Z855" s="1"/>
      <c r="AA855" s="1"/>
      <c r="AB855" s="1"/>
      <c r="AC855" s="1"/>
      <c r="AD855" s="1"/>
    </row>
    <row r="856" spans="7:30">
      <c r="G856" s="1"/>
      <c r="H856" s="1"/>
      <c r="I856" s="1"/>
      <c r="J856" s="1"/>
      <c r="L856" s="1"/>
      <c r="M856" s="1"/>
      <c r="N856" s="1"/>
      <c r="O856" s="2"/>
      <c r="S856" s="2"/>
      <c r="T856" s="1"/>
      <c r="Z856" s="1"/>
      <c r="AA856" s="1"/>
      <c r="AB856" s="1"/>
      <c r="AC856" s="1"/>
      <c r="AD856" s="1"/>
    </row>
    <row r="857" spans="7:30">
      <c r="G857" s="1"/>
      <c r="H857" s="1"/>
      <c r="I857" s="1"/>
      <c r="J857" s="1"/>
      <c r="L857" s="1"/>
      <c r="M857" s="1"/>
      <c r="N857" s="1"/>
      <c r="O857" s="2"/>
      <c r="S857" s="2"/>
      <c r="T857" s="1"/>
      <c r="Z857" s="1"/>
      <c r="AA857" s="1"/>
      <c r="AB857" s="1"/>
      <c r="AC857" s="1"/>
      <c r="AD857" s="1"/>
    </row>
    <row r="858" spans="7:30">
      <c r="G858" s="1"/>
      <c r="H858" s="1"/>
      <c r="I858" s="1"/>
      <c r="J858" s="1"/>
      <c r="L858" s="1"/>
      <c r="M858" s="1"/>
      <c r="N858" s="1"/>
      <c r="O858" s="2"/>
      <c r="S858" s="2"/>
      <c r="T858" s="1"/>
      <c r="Z858" s="1"/>
      <c r="AA858" s="1"/>
      <c r="AB858" s="1"/>
      <c r="AC858" s="1"/>
      <c r="AD858" s="1"/>
    </row>
    <row r="859" spans="7:30">
      <c r="G859" s="1"/>
      <c r="H859" s="1"/>
      <c r="I859" s="1"/>
      <c r="J859" s="1"/>
      <c r="L859" s="1"/>
      <c r="M859" s="1"/>
      <c r="N859" s="1"/>
      <c r="O859" s="2"/>
      <c r="S859" s="2"/>
      <c r="T859" s="1"/>
      <c r="Z859" s="1"/>
      <c r="AA859" s="1"/>
      <c r="AB859" s="1"/>
      <c r="AC859" s="1"/>
      <c r="AD859" s="1"/>
    </row>
    <row r="860" spans="7:30">
      <c r="G860" s="1"/>
      <c r="H860" s="1"/>
      <c r="I860" s="1"/>
      <c r="J860" s="1"/>
      <c r="L860" s="1"/>
      <c r="M860" s="1"/>
      <c r="N860" s="1"/>
      <c r="O860" s="2"/>
      <c r="S860" s="2"/>
      <c r="T860" s="1"/>
      <c r="Z860" s="1"/>
      <c r="AA860" s="1"/>
      <c r="AB860" s="1"/>
      <c r="AC860" s="1"/>
      <c r="AD860" s="1"/>
    </row>
    <row r="861" spans="7:30">
      <c r="G861" s="1"/>
      <c r="H861" s="1"/>
      <c r="I861" s="1"/>
      <c r="J861" s="1"/>
      <c r="L861" s="1"/>
      <c r="M861" s="1"/>
      <c r="N861" s="1"/>
      <c r="O861" s="2"/>
      <c r="S861" s="2"/>
      <c r="T861" s="1"/>
      <c r="Z861" s="1"/>
      <c r="AA861" s="1"/>
      <c r="AB861" s="1"/>
      <c r="AC861" s="1"/>
      <c r="AD861" s="1"/>
    </row>
    <row r="862" spans="7:30">
      <c r="G862" s="1"/>
      <c r="H862" s="1"/>
      <c r="I862" s="1"/>
      <c r="J862" s="1"/>
      <c r="L862" s="1"/>
      <c r="M862" s="1"/>
      <c r="N862" s="1"/>
      <c r="O862" s="2"/>
      <c r="S862" s="2"/>
      <c r="T862" s="1"/>
      <c r="Z862" s="1"/>
      <c r="AA862" s="1"/>
      <c r="AB862" s="1"/>
      <c r="AC862" s="1"/>
      <c r="AD862" s="1"/>
    </row>
    <row r="863" spans="7:30">
      <c r="G863" s="1"/>
      <c r="H863" s="1"/>
      <c r="I863" s="1"/>
      <c r="J863" s="1"/>
      <c r="L863" s="1"/>
      <c r="M863" s="1"/>
      <c r="N863" s="1"/>
      <c r="O863" s="2"/>
      <c r="S863" s="2"/>
      <c r="T863" s="1"/>
      <c r="Z863" s="1"/>
      <c r="AA863" s="1"/>
      <c r="AB863" s="1"/>
      <c r="AC863" s="1"/>
      <c r="AD863" s="1"/>
    </row>
    <row r="864" spans="7:30">
      <c r="G864" s="1"/>
      <c r="H864" s="1"/>
      <c r="I864" s="1"/>
      <c r="J864" s="1"/>
      <c r="L864" s="1"/>
      <c r="M864" s="1"/>
      <c r="N864" s="1"/>
      <c r="O864" s="2"/>
      <c r="S864" s="2"/>
      <c r="T864" s="1"/>
      <c r="Z864" s="1"/>
      <c r="AA864" s="1"/>
      <c r="AB864" s="1"/>
      <c r="AC864" s="1"/>
      <c r="AD864" s="1"/>
    </row>
    <row r="865" spans="7:30">
      <c r="G865" s="1"/>
      <c r="H865" s="1"/>
      <c r="I865" s="1"/>
      <c r="J865" s="1"/>
      <c r="L865" s="1"/>
      <c r="M865" s="1"/>
      <c r="N865" s="1"/>
      <c r="O865" s="2"/>
      <c r="S865" s="2"/>
      <c r="T865" s="1"/>
      <c r="Z865" s="1"/>
      <c r="AA865" s="1"/>
      <c r="AB865" s="1"/>
      <c r="AC865" s="1"/>
      <c r="AD865" s="1"/>
    </row>
    <row r="866" spans="7:30">
      <c r="G866" s="1"/>
      <c r="H866" s="1"/>
      <c r="I866" s="1"/>
      <c r="J866" s="1"/>
      <c r="L866" s="1"/>
      <c r="M866" s="1"/>
      <c r="N866" s="1"/>
      <c r="O866" s="2"/>
      <c r="S866" s="2"/>
      <c r="T866" s="1"/>
      <c r="Z866" s="1"/>
      <c r="AA866" s="1"/>
      <c r="AB866" s="1"/>
      <c r="AC866" s="1"/>
      <c r="AD866" s="1"/>
    </row>
    <row r="867" spans="7:30">
      <c r="G867" s="1"/>
      <c r="H867" s="1"/>
      <c r="I867" s="1"/>
      <c r="J867" s="1"/>
      <c r="L867" s="1"/>
      <c r="M867" s="1"/>
      <c r="N867" s="1"/>
      <c r="O867" s="2"/>
      <c r="S867" s="2"/>
      <c r="T867" s="1"/>
      <c r="Z867" s="1"/>
      <c r="AA867" s="1"/>
      <c r="AB867" s="1"/>
      <c r="AC867" s="1"/>
      <c r="AD867" s="1"/>
    </row>
    <row r="868" spans="7:30">
      <c r="G868" s="1"/>
      <c r="H868" s="1"/>
      <c r="I868" s="1"/>
      <c r="J868" s="1"/>
      <c r="L868" s="1"/>
      <c r="M868" s="1"/>
      <c r="N868" s="1"/>
      <c r="O868" s="2"/>
      <c r="S868" s="2"/>
      <c r="T868" s="1"/>
      <c r="Z868" s="1"/>
      <c r="AA868" s="1"/>
      <c r="AB868" s="1"/>
      <c r="AC868" s="1"/>
      <c r="AD868" s="1"/>
    </row>
    <row r="869" spans="7:30">
      <c r="G869" s="1"/>
      <c r="H869" s="1"/>
      <c r="I869" s="1"/>
      <c r="J869" s="1"/>
      <c r="L869" s="1"/>
      <c r="M869" s="1"/>
      <c r="N869" s="1"/>
      <c r="O869" s="2"/>
      <c r="S869" s="2"/>
      <c r="T869" s="1"/>
      <c r="Z869" s="1"/>
      <c r="AA869" s="1"/>
      <c r="AB869" s="1"/>
      <c r="AC869" s="1"/>
      <c r="AD869" s="1"/>
    </row>
    <row r="870" spans="7:30">
      <c r="G870" s="1"/>
      <c r="H870" s="1"/>
      <c r="I870" s="1"/>
      <c r="J870" s="1"/>
      <c r="L870" s="1"/>
      <c r="M870" s="1"/>
      <c r="N870" s="1"/>
      <c r="O870" s="2"/>
      <c r="S870" s="2"/>
      <c r="T870" s="1"/>
      <c r="Z870" s="1"/>
      <c r="AA870" s="1"/>
      <c r="AB870" s="1"/>
      <c r="AC870" s="1"/>
      <c r="AD870" s="1"/>
    </row>
    <row r="871" spans="7:30">
      <c r="G871" s="1"/>
      <c r="H871" s="1"/>
      <c r="I871" s="1"/>
      <c r="J871" s="1"/>
      <c r="L871" s="1"/>
      <c r="M871" s="1"/>
      <c r="N871" s="1"/>
      <c r="O871" s="2"/>
      <c r="S871" s="2"/>
      <c r="T871" s="1"/>
      <c r="Z871" s="1"/>
      <c r="AA871" s="1"/>
      <c r="AB871" s="1"/>
      <c r="AC871" s="1"/>
      <c r="AD871" s="1"/>
    </row>
    <row r="872" spans="7:30">
      <c r="G872" s="1"/>
      <c r="H872" s="1"/>
      <c r="I872" s="1"/>
      <c r="J872" s="1"/>
      <c r="L872" s="1"/>
      <c r="M872" s="1"/>
      <c r="N872" s="1"/>
      <c r="O872" s="2"/>
      <c r="S872" s="2"/>
      <c r="T872" s="1"/>
      <c r="Z872" s="1"/>
      <c r="AA872" s="1"/>
      <c r="AB872" s="1"/>
      <c r="AC872" s="1"/>
      <c r="AD872" s="1"/>
    </row>
    <row r="873" spans="7:30">
      <c r="G873" s="1"/>
      <c r="H873" s="1"/>
      <c r="I873" s="1"/>
      <c r="J873" s="1"/>
      <c r="L873" s="1"/>
      <c r="M873" s="1"/>
      <c r="N873" s="1"/>
      <c r="O873" s="2"/>
      <c r="S873" s="2"/>
      <c r="T873" s="1"/>
      <c r="Z873" s="1"/>
      <c r="AA873" s="1"/>
      <c r="AB873" s="1"/>
      <c r="AC873" s="1"/>
      <c r="AD873" s="1"/>
    </row>
    <row r="874" spans="7:30">
      <c r="G874" s="1"/>
      <c r="H874" s="1"/>
      <c r="I874" s="1"/>
      <c r="J874" s="1"/>
      <c r="L874" s="1"/>
      <c r="M874" s="1"/>
      <c r="N874" s="1"/>
      <c r="O874" s="2"/>
      <c r="S874" s="2"/>
      <c r="T874" s="1"/>
      <c r="Z874" s="1"/>
      <c r="AA874" s="1"/>
      <c r="AB874" s="1"/>
      <c r="AC874" s="1"/>
      <c r="AD874" s="1"/>
    </row>
    <row r="875" spans="7:30">
      <c r="G875" s="1"/>
      <c r="H875" s="1"/>
      <c r="I875" s="1"/>
      <c r="J875" s="1"/>
      <c r="L875" s="1"/>
      <c r="M875" s="1"/>
      <c r="N875" s="1"/>
      <c r="O875" s="2"/>
      <c r="S875" s="2"/>
      <c r="T875" s="1"/>
      <c r="Z875" s="1"/>
      <c r="AA875" s="1"/>
      <c r="AB875" s="1"/>
      <c r="AC875" s="1"/>
      <c r="AD875" s="1"/>
    </row>
    <row r="876" spans="7:30">
      <c r="G876" s="1"/>
      <c r="H876" s="1"/>
      <c r="I876" s="1"/>
      <c r="J876" s="1"/>
      <c r="L876" s="1"/>
      <c r="M876" s="1"/>
      <c r="N876" s="1"/>
      <c r="O876" s="2"/>
      <c r="S876" s="2"/>
      <c r="T876" s="1"/>
      <c r="Z876" s="1"/>
      <c r="AA876" s="1"/>
      <c r="AB876" s="1"/>
      <c r="AC876" s="1"/>
      <c r="AD876" s="1"/>
    </row>
    <row r="877" spans="7:30">
      <c r="G877" s="1"/>
      <c r="H877" s="1"/>
      <c r="I877" s="1"/>
      <c r="J877" s="1"/>
      <c r="L877" s="1"/>
      <c r="M877" s="1"/>
      <c r="N877" s="1"/>
      <c r="O877" s="2"/>
      <c r="S877" s="2"/>
      <c r="T877" s="1"/>
      <c r="Z877" s="1"/>
      <c r="AA877" s="1"/>
      <c r="AB877" s="1"/>
      <c r="AC877" s="1"/>
      <c r="AD877" s="1"/>
    </row>
    <row r="878" spans="7:30">
      <c r="G878" s="1"/>
      <c r="H878" s="1"/>
      <c r="I878" s="1"/>
      <c r="J878" s="1"/>
      <c r="L878" s="1"/>
      <c r="M878" s="1"/>
      <c r="N878" s="1"/>
      <c r="O878" s="2"/>
      <c r="S878" s="2"/>
      <c r="T878" s="1"/>
      <c r="Z878" s="1"/>
      <c r="AA878" s="1"/>
      <c r="AB878" s="1"/>
      <c r="AC878" s="1"/>
      <c r="AD878" s="1"/>
    </row>
    <row r="879" spans="7:30">
      <c r="G879" s="1"/>
      <c r="H879" s="1"/>
      <c r="I879" s="1"/>
      <c r="J879" s="1"/>
      <c r="L879" s="1"/>
      <c r="M879" s="1"/>
      <c r="N879" s="1"/>
      <c r="O879" s="2"/>
      <c r="S879" s="2"/>
      <c r="T879" s="1"/>
      <c r="Z879" s="1"/>
      <c r="AA879" s="1"/>
      <c r="AB879" s="1"/>
      <c r="AC879" s="1"/>
      <c r="AD879" s="1"/>
    </row>
    <row r="880" spans="7:30">
      <c r="G880" s="1"/>
      <c r="H880" s="1"/>
      <c r="I880" s="1"/>
      <c r="J880" s="1"/>
      <c r="L880" s="1"/>
      <c r="M880" s="1"/>
      <c r="N880" s="1"/>
      <c r="O880" s="2"/>
      <c r="S880" s="2"/>
      <c r="T880" s="1"/>
      <c r="Z880" s="1"/>
      <c r="AA880" s="1"/>
      <c r="AB880" s="1"/>
      <c r="AC880" s="1"/>
      <c r="AD880" s="1"/>
    </row>
    <row r="881" spans="7:30">
      <c r="G881" s="1"/>
      <c r="H881" s="1"/>
      <c r="I881" s="1"/>
      <c r="J881" s="1"/>
      <c r="L881" s="1"/>
      <c r="M881" s="1"/>
      <c r="N881" s="1"/>
      <c r="O881" s="2"/>
      <c r="S881" s="2"/>
      <c r="T881" s="1"/>
      <c r="Z881" s="1"/>
      <c r="AA881" s="1"/>
      <c r="AB881" s="1"/>
      <c r="AC881" s="1"/>
      <c r="AD881" s="1"/>
    </row>
    <row r="882" spans="7:30">
      <c r="G882" s="1"/>
      <c r="H882" s="1"/>
      <c r="I882" s="1"/>
      <c r="J882" s="1"/>
      <c r="L882" s="1"/>
      <c r="M882" s="1"/>
      <c r="N882" s="1"/>
      <c r="O882" s="2"/>
      <c r="S882" s="2"/>
      <c r="T882" s="1"/>
      <c r="Z882" s="1"/>
      <c r="AA882" s="1"/>
      <c r="AB882" s="1"/>
      <c r="AC882" s="1"/>
      <c r="AD882" s="1"/>
    </row>
    <row r="883" spans="7:30">
      <c r="G883" s="1"/>
      <c r="H883" s="1"/>
      <c r="I883" s="1"/>
      <c r="J883" s="1"/>
      <c r="L883" s="1"/>
      <c r="M883" s="1"/>
      <c r="N883" s="1"/>
      <c r="O883" s="2"/>
      <c r="S883" s="2"/>
      <c r="T883" s="1"/>
      <c r="Z883" s="1"/>
      <c r="AA883" s="1"/>
      <c r="AB883" s="1"/>
      <c r="AC883" s="1"/>
      <c r="AD883" s="1"/>
    </row>
    <row r="884" spans="7:30">
      <c r="G884" s="1"/>
      <c r="H884" s="1"/>
      <c r="I884" s="1"/>
      <c r="J884" s="1"/>
      <c r="L884" s="1"/>
      <c r="M884" s="1"/>
      <c r="N884" s="1"/>
      <c r="O884" s="2"/>
      <c r="S884" s="2"/>
      <c r="T884" s="1"/>
      <c r="Z884" s="1"/>
      <c r="AA884" s="1"/>
      <c r="AB884" s="1"/>
      <c r="AC884" s="1"/>
      <c r="AD884" s="1"/>
    </row>
    <row r="885" spans="7:30">
      <c r="G885" s="1"/>
      <c r="H885" s="1"/>
      <c r="I885" s="1"/>
      <c r="J885" s="1"/>
      <c r="L885" s="1"/>
      <c r="M885" s="1"/>
      <c r="N885" s="1"/>
      <c r="O885" s="2"/>
      <c r="S885" s="2"/>
      <c r="T885" s="1"/>
      <c r="Z885" s="1"/>
      <c r="AA885" s="1"/>
      <c r="AB885" s="1"/>
      <c r="AC885" s="1"/>
      <c r="AD885" s="1"/>
    </row>
    <row r="886" spans="7:30">
      <c r="G886" s="1"/>
      <c r="H886" s="1"/>
      <c r="I886" s="1"/>
      <c r="J886" s="1"/>
      <c r="L886" s="1"/>
      <c r="M886" s="1"/>
      <c r="N886" s="1"/>
      <c r="O886" s="2"/>
      <c r="S886" s="2"/>
      <c r="T886" s="1"/>
      <c r="Z886" s="1"/>
      <c r="AA886" s="1"/>
      <c r="AB886" s="1"/>
      <c r="AC886" s="1"/>
      <c r="AD886" s="1"/>
    </row>
    <row r="887" spans="7:30">
      <c r="G887" s="1"/>
      <c r="H887" s="1"/>
      <c r="I887" s="1"/>
      <c r="J887" s="1"/>
      <c r="L887" s="1"/>
      <c r="M887" s="1"/>
      <c r="N887" s="1"/>
      <c r="O887" s="2"/>
      <c r="S887" s="2"/>
      <c r="T887" s="1"/>
      <c r="Z887" s="1"/>
      <c r="AA887" s="1"/>
      <c r="AB887" s="1"/>
      <c r="AC887" s="1"/>
      <c r="AD887" s="1"/>
    </row>
    <row r="888" spans="7:30">
      <c r="G888" s="1"/>
      <c r="H888" s="1"/>
      <c r="I888" s="1"/>
      <c r="J888" s="1"/>
      <c r="L888" s="1"/>
      <c r="M888" s="1"/>
      <c r="N888" s="1"/>
      <c r="O888" s="2"/>
      <c r="S888" s="2"/>
      <c r="T888" s="1"/>
      <c r="Z888" s="1"/>
      <c r="AA888" s="1"/>
      <c r="AB888" s="1"/>
      <c r="AC888" s="1"/>
      <c r="AD888" s="1"/>
    </row>
    <row r="889" spans="7:30">
      <c r="G889" s="1"/>
      <c r="H889" s="1"/>
      <c r="I889" s="1"/>
      <c r="J889" s="1"/>
      <c r="L889" s="1"/>
      <c r="M889" s="1"/>
      <c r="N889" s="1"/>
      <c r="O889" s="2"/>
      <c r="S889" s="2"/>
      <c r="T889" s="1"/>
      <c r="Z889" s="1"/>
      <c r="AA889" s="1"/>
      <c r="AB889" s="1"/>
      <c r="AC889" s="1"/>
      <c r="AD889" s="1"/>
    </row>
    <row r="890" spans="7:30">
      <c r="G890" s="1"/>
      <c r="H890" s="1"/>
      <c r="I890" s="1"/>
      <c r="J890" s="1"/>
      <c r="L890" s="1"/>
      <c r="M890" s="1"/>
      <c r="N890" s="1"/>
      <c r="O890" s="2"/>
      <c r="S890" s="2"/>
      <c r="T890" s="1"/>
      <c r="Z890" s="1"/>
      <c r="AA890" s="1"/>
      <c r="AB890" s="1"/>
      <c r="AC890" s="1"/>
      <c r="AD890" s="1"/>
    </row>
    <row r="891" spans="7:30">
      <c r="G891" s="1"/>
      <c r="H891" s="1"/>
      <c r="I891" s="1"/>
      <c r="J891" s="1"/>
      <c r="L891" s="1"/>
      <c r="M891" s="1"/>
      <c r="N891" s="1"/>
      <c r="O891" s="2"/>
      <c r="S891" s="2"/>
      <c r="T891" s="1"/>
      <c r="Z891" s="1"/>
      <c r="AA891" s="1"/>
      <c r="AB891" s="1"/>
      <c r="AC891" s="1"/>
      <c r="AD891" s="1"/>
    </row>
    <row r="892" spans="7:30">
      <c r="G892" s="1"/>
      <c r="H892" s="1"/>
      <c r="I892" s="1"/>
      <c r="J892" s="1"/>
      <c r="L892" s="1"/>
      <c r="M892" s="1"/>
      <c r="N892" s="1"/>
      <c r="O892" s="2"/>
      <c r="S892" s="2"/>
      <c r="T892" s="1"/>
      <c r="Z892" s="1"/>
      <c r="AA892" s="1"/>
      <c r="AB892" s="1"/>
      <c r="AC892" s="1"/>
      <c r="AD892" s="1"/>
    </row>
    <row r="893" spans="7:30">
      <c r="G893" s="1"/>
      <c r="H893" s="1"/>
      <c r="I893" s="1"/>
      <c r="J893" s="1"/>
      <c r="L893" s="1"/>
      <c r="M893" s="1"/>
      <c r="N893" s="1"/>
      <c r="O893" s="2"/>
      <c r="S893" s="2"/>
      <c r="T893" s="1"/>
      <c r="Z893" s="1"/>
      <c r="AA893" s="1"/>
      <c r="AB893" s="1"/>
      <c r="AC893" s="1"/>
      <c r="AD893" s="1"/>
    </row>
    <row r="894" spans="7:30">
      <c r="G894" s="1"/>
      <c r="H894" s="1"/>
      <c r="I894" s="1"/>
      <c r="J894" s="1"/>
      <c r="L894" s="1"/>
      <c r="M894" s="1"/>
      <c r="N894" s="1"/>
      <c r="O894" s="2"/>
      <c r="S894" s="2"/>
      <c r="T894" s="1"/>
      <c r="Z894" s="1"/>
      <c r="AA894" s="1"/>
      <c r="AB894" s="1"/>
      <c r="AC894" s="1"/>
      <c r="AD894" s="1"/>
    </row>
    <row r="895" spans="7:30">
      <c r="G895" s="1"/>
      <c r="H895" s="1"/>
      <c r="I895" s="1"/>
      <c r="J895" s="1"/>
      <c r="L895" s="1"/>
      <c r="M895" s="1"/>
      <c r="N895" s="1"/>
      <c r="O895" s="2"/>
      <c r="S895" s="2"/>
      <c r="T895" s="1"/>
      <c r="Z895" s="1"/>
      <c r="AA895" s="1"/>
      <c r="AB895" s="1"/>
      <c r="AC895" s="1"/>
      <c r="AD895" s="1"/>
    </row>
    <row r="896" spans="7:30">
      <c r="G896" s="1"/>
      <c r="H896" s="1"/>
      <c r="I896" s="1"/>
      <c r="J896" s="1"/>
      <c r="L896" s="1"/>
      <c r="M896" s="1"/>
      <c r="N896" s="1"/>
      <c r="O896" s="2"/>
      <c r="S896" s="2"/>
      <c r="T896" s="1"/>
      <c r="Z896" s="1"/>
      <c r="AA896" s="1"/>
      <c r="AB896" s="1"/>
      <c r="AC896" s="1"/>
      <c r="AD896" s="1"/>
    </row>
    <row r="897" spans="7:30">
      <c r="G897" s="1"/>
      <c r="H897" s="1"/>
      <c r="I897" s="1"/>
      <c r="J897" s="1"/>
      <c r="L897" s="1"/>
      <c r="M897" s="1"/>
      <c r="N897" s="1"/>
      <c r="O897" s="2"/>
      <c r="S897" s="2"/>
      <c r="T897" s="1"/>
      <c r="Z897" s="1"/>
      <c r="AA897" s="1"/>
      <c r="AB897" s="1"/>
      <c r="AC897" s="1"/>
      <c r="AD897" s="1"/>
    </row>
    <row r="898" spans="7:30">
      <c r="G898" s="1"/>
      <c r="H898" s="1"/>
      <c r="I898" s="1"/>
      <c r="J898" s="1"/>
      <c r="L898" s="1"/>
      <c r="M898" s="1"/>
      <c r="N898" s="1"/>
      <c r="O898" s="2"/>
      <c r="S898" s="2"/>
      <c r="T898" s="1"/>
      <c r="Z898" s="1"/>
      <c r="AA898" s="1"/>
      <c r="AB898" s="1"/>
      <c r="AC898" s="1"/>
      <c r="AD898" s="1"/>
    </row>
    <row r="899" spans="7:30">
      <c r="G899" s="1"/>
      <c r="H899" s="1"/>
      <c r="I899" s="1"/>
      <c r="J899" s="1"/>
      <c r="L899" s="1"/>
      <c r="M899" s="1"/>
      <c r="N899" s="1"/>
      <c r="O899" s="2"/>
      <c r="S899" s="2"/>
      <c r="T899" s="1"/>
      <c r="Z899" s="1"/>
      <c r="AA899" s="1"/>
      <c r="AB899" s="1"/>
      <c r="AC899" s="1"/>
      <c r="AD899" s="1"/>
    </row>
    <row r="900" spans="7:30">
      <c r="G900" s="1"/>
      <c r="H900" s="1"/>
      <c r="I900" s="1"/>
      <c r="J900" s="1"/>
      <c r="L900" s="1"/>
      <c r="M900" s="1"/>
      <c r="N900" s="1"/>
      <c r="O900" s="2"/>
      <c r="S900" s="2"/>
      <c r="T900" s="1"/>
      <c r="Z900" s="1"/>
      <c r="AA900" s="1"/>
      <c r="AB900" s="1"/>
      <c r="AC900" s="1"/>
      <c r="AD900" s="1"/>
    </row>
    <row r="901" spans="7:30">
      <c r="G901" s="1"/>
      <c r="H901" s="1"/>
      <c r="I901" s="1"/>
      <c r="J901" s="1"/>
      <c r="L901" s="1"/>
      <c r="M901" s="1"/>
      <c r="N901" s="1"/>
      <c r="O901" s="2"/>
      <c r="S901" s="2"/>
      <c r="T901" s="1"/>
      <c r="Z901" s="1"/>
      <c r="AA901" s="1"/>
      <c r="AB901" s="1"/>
      <c r="AC901" s="1"/>
      <c r="AD901" s="1"/>
    </row>
    <row r="902" spans="7:30">
      <c r="G902" s="1"/>
      <c r="H902" s="1"/>
      <c r="I902" s="1"/>
      <c r="J902" s="1"/>
      <c r="L902" s="1"/>
      <c r="M902" s="1"/>
      <c r="N902" s="1"/>
      <c r="O902" s="2"/>
      <c r="S902" s="2"/>
      <c r="T902" s="1"/>
      <c r="Z902" s="1"/>
      <c r="AA902" s="1"/>
      <c r="AB902" s="1"/>
      <c r="AC902" s="1"/>
      <c r="AD902" s="1"/>
    </row>
    <row r="903" spans="7:30">
      <c r="G903" s="1"/>
      <c r="H903" s="1"/>
      <c r="I903" s="1"/>
      <c r="J903" s="1"/>
      <c r="L903" s="1"/>
      <c r="M903" s="1"/>
      <c r="N903" s="1"/>
      <c r="O903" s="2"/>
      <c r="S903" s="2"/>
      <c r="T903" s="1"/>
      <c r="Z903" s="1"/>
      <c r="AA903" s="1"/>
      <c r="AB903" s="1"/>
      <c r="AC903" s="1"/>
      <c r="AD903" s="1"/>
    </row>
    <row r="904" spans="7:30">
      <c r="G904" s="1"/>
      <c r="H904" s="1"/>
      <c r="I904" s="1"/>
      <c r="J904" s="1"/>
      <c r="L904" s="1"/>
      <c r="M904" s="1"/>
      <c r="N904" s="1"/>
      <c r="O904" s="2"/>
      <c r="S904" s="2"/>
      <c r="T904" s="1"/>
      <c r="Z904" s="1"/>
      <c r="AA904" s="1"/>
      <c r="AB904" s="1"/>
      <c r="AC904" s="1"/>
      <c r="AD904" s="1"/>
    </row>
    <row r="905" spans="7:30">
      <c r="G905" s="1"/>
      <c r="H905" s="1"/>
      <c r="I905" s="1"/>
      <c r="J905" s="1"/>
      <c r="L905" s="1"/>
      <c r="M905" s="1"/>
      <c r="N905" s="1"/>
      <c r="O905" s="2"/>
      <c r="S905" s="2"/>
      <c r="T905" s="1"/>
      <c r="Z905" s="1"/>
      <c r="AA905" s="1"/>
      <c r="AB905" s="1"/>
      <c r="AC905" s="1"/>
      <c r="AD905" s="1"/>
    </row>
    <row r="906" spans="7:30">
      <c r="G906" s="1"/>
      <c r="H906" s="1"/>
      <c r="I906" s="1"/>
      <c r="J906" s="1"/>
      <c r="L906" s="1"/>
      <c r="M906" s="1"/>
      <c r="N906" s="1"/>
      <c r="O906" s="2"/>
      <c r="S906" s="2"/>
      <c r="T906" s="1"/>
      <c r="Z906" s="1"/>
      <c r="AA906" s="1"/>
      <c r="AB906" s="1"/>
      <c r="AC906" s="1"/>
      <c r="AD906" s="1"/>
    </row>
    <row r="907" spans="7:30">
      <c r="G907" s="1"/>
      <c r="H907" s="1"/>
      <c r="I907" s="1"/>
      <c r="J907" s="1"/>
      <c r="L907" s="1"/>
      <c r="M907" s="1"/>
      <c r="N907" s="1"/>
      <c r="O907" s="2"/>
      <c r="S907" s="2"/>
      <c r="T907" s="1"/>
      <c r="Z907" s="1"/>
      <c r="AA907" s="1"/>
      <c r="AB907" s="1"/>
      <c r="AC907" s="1"/>
      <c r="AD907" s="1"/>
    </row>
    <row r="908" spans="7:30">
      <c r="G908" s="1"/>
      <c r="H908" s="1"/>
      <c r="I908" s="1"/>
      <c r="J908" s="1"/>
      <c r="L908" s="1"/>
      <c r="M908" s="1"/>
      <c r="N908" s="1"/>
      <c r="O908" s="2"/>
      <c r="S908" s="2"/>
      <c r="T908" s="1"/>
      <c r="Z908" s="1"/>
      <c r="AA908" s="1"/>
      <c r="AB908" s="1"/>
      <c r="AC908" s="1"/>
      <c r="AD908" s="1"/>
    </row>
    <row r="909" spans="7:30">
      <c r="G909" s="1"/>
      <c r="H909" s="1"/>
      <c r="I909" s="1"/>
      <c r="J909" s="1"/>
      <c r="L909" s="1"/>
      <c r="M909" s="1"/>
      <c r="N909" s="1"/>
      <c r="O909" s="2"/>
      <c r="S909" s="2"/>
      <c r="T909" s="1"/>
      <c r="Z909" s="1"/>
      <c r="AA909" s="1"/>
      <c r="AB909" s="1"/>
      <c r="AC909" s="1"/>
      <c r="AD909" s="1"/>
    </row>
    <row r="910" spans="7:30">
      <c r="G910" s="1"/>
      <c r="H910" s="1"/>
      <c r="I910" s="1"/>
      <c r="J910" s="1"/>
      <c r="L910" s="1"/>
      <c r="M910" s="1"/>
      <c r="N910" s="1"/>
      <c r="O910" s="2"/>
      <c r="S910" s="2"/>
      <c r="T910" s="1"/>
      <c r="Z910" s="1"/>
      <c r="AA910" s="1"/>
      <c r="AB910" s="1"/>
      <c r="AC910" s="1"/>
      <c r="AD910" s="1"/>
    </row>
    <row r="911" spans="7:30">
      <c r="G911" s="1"/>
      <c r="H911" s="1"/>
      <c r="I911" s="1"/>
      <c r="J911" s="1"/>
      <c r="L911" s="1"/>
      <c r="M911" s="1"/>
      <c r="N911" s="1"/>
      <c r="O911" s="2"/>
      <c r="S911" s="2"/>
      <c r="T911" s="1"/>
      <c r="Z911" s="1"/>
      <c r="AA911" s="1"/>
      <c r="AB911" s="1"/>
      <c r="AC911" s="1"/>
      <c r="AD911" s="1"/>
    </row>
    <row r="912" spans="7:30">
      <c r="G912" s="1"/>
      <c r="H912" s="1"/>
      <c r="I912" s="1"/>
      <c r="J912" s="1"/>
      <c r="L912" s="1"/>
      <c r="M912" s="1"/>
      <c r="N912" s="1"/>
      <c r="O912" s="2"/>
      <c r="S912" s="2"/>
      <c r="T912" s="1"/>
      <c r="Z912" s="1"/>
      <c r="AA912" s="1"/>
      <c r="AB912" s="1"/>
      <c r="AC912" s="1"/>
      <c r="AD912" s="1"/>
    </row>
    <row r="913" spans="7:30">
      <c r="G913" s="1"/>
      <c r="H913" s="1"/>
      <c r="I913" s="1"/>
      <c r="J913" s="1"/>
      <c r="L913" s="1"/>
      <c r="M913" s="1"/>
      <c r="N913" s="1"/>
      <c r="O913" s="2"/>
      <c r="S913" s="2"/>
      <c r="T913" s="1"/>
      <c r="Z913" s="1"/>
      <c r="AA913" s="1"/>
      <c r="AB913" s="1"/>
      <c r="AC913" s="1"/>
      <c r="AD913" s="1"/>
    </row>
    <row r="914" spans="7:30">
      <c r="G914" s="1"/>
      <c r="H914" s="1"/>
      <c r="I914" s="1"/>
      <c r="J914" s="1"/>
      <c r="L914" s="1"/>
      <c r="M914" s="1"/>
      <c r="N914" s="1"/>
      <c r="O914" s="2"/>
      <c r="S914" s="2"/>
      <c r="T914" s="1"/>
      <c r="Z914" s="1"/>
      <c r="AA914" s="1"/>
      <c r="AB914" s="1"/>
      <c r="AC914" s="1"/>
      <c r="AD914" s="1"/>
    </row>
    <row r="915" spans="7:30">
      <c r="G915" s="1"/>
      <c r="H915" s="1"/>
      <c r="I915" s="1"/>
      <c r="J915" s="1"/>
      <c r="L915" s="1"/>
      <c r="M915" s="1"/>
      <c r="N915" s="1"/>
      <c r="O915" s="2"/>
      <c r="S915" s="2"/>
      <c r="T915" s="1"/>
      <c r="Z915" s="1"/>
      <c r="AA915" s="1"/>
      <c r="AB915" s="1"/>
      <c r="AC915" s="1"/>
      <c r="AD915" s="1"/>
    </row>
    <row r="916" spans="7:30">
      <c r="G916" s="1"/>
      <c r="H916" s="1"/>
      <c r="I916" s="1"/>
      <c r="J916" s="1"/>
      <c r="L916" s="1"/>
      <c r="M916" s="1"/>
      <c r="N916" s="1"/>
      <c r="O916" s="2"/>
      <c r="S916" s="2"/>
      <c r="T916" s="1"/>
      <c r="Z916" s="1"/>
      <c r="AA916" s="1"/>
      <c r="AB916" s="1"/>
      <c r="AC916" s="1"/>
      <c r="AD916" s="1"/>
    </row>
  </sheetData>
  <mergeCells count="18">
    <mergeCell ref="O11:T11"/>
    <mergeCell ref="U11:AF11"/>
    <mergeCell ref="A135:B135"/>
    <mergeCell ref="B142:H142"/>
    <mergeCell ref="A7:AG7"/>
    <mergeCell ref="A8:AG8"/>
    <mergeCell ref="B145:H145"/>
    <mergeCell ref="D9:K9"/>
    <mergeCell ref="A11:A13"/>
    <mergeCell ref="B11:B13"/>
    <mergeCell ref="C11:C12"/>
    <mergeCell ref="D11:D12"/>
    <mergeCell ref="E11:E13"/>
    <mergeCell ref="F11:F13"/>
    <mergeCell ref="G11:G12"/>
    <mergeCell ref="H11:H12"/>
    <mergeCell ref="I11:N11"/>
    <mergeCell ref="B144:H144"/>
  </mergeCells>
  <pageMargins left="0.70866141732283472" right="0.19685039370078741" top="0.55118110236220474" bottom="0.74803149606299213" header="0.31496062992125984" footer="0.31496062992125984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1.1</vt:lpstr>
      <vt:lpstr>'приложение 1.1'!Заголовки_для_печати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Акентьев Александр Андреевич</dc:creator>
  <cp:lastModifiedBy>Titova.IV</cp:lastModifiedBy>
  <cp:lastPrinted>2019-02-26T10:56:09Z</cp:lastPrinted>
  <dcterms:created xsi:type="dcterms:W3CDTF">2017-02-07T10:52:25Z</dcterms:created>
  <dcterms:modified xsi:type="dcterms:W3CDTF">2019-02-28T06:50:54Z</dcterms:modified>
</cp:coreProperties>
</file>